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6255" activeTab="2"/>
  </bookViews>
  <sheets>
    <sheet name="Sekundärspule" sheetId="1" r:id="rId1"/>
    <sheet name="Primärseite" sheetId="2" r:id="rId2"/>
    <sheet name="Primärspule" sheetId="3" r:id="rId3"/>
    <sheet name="Horizontale_Spule" sheetId="4" r:id="rId4"/>
    <sheet name="Toroid D2 = 10cm" sheetId="5" r:id="rId5"/>
    <sheet name="Grafiken" sheetId="6" r:id="rId6"/>
  </sheets>
  <definedNames/>
  <calcPr fullCalcOnLoad="1"/>
</workbook>
</file>

<file path=xl/sharedStrings.xml><?xml version="1.0" encoding="utf-8"?>
<sst xmlns="http://schemas.openxmlformats.org/spreadsheetml/2006/main" count="282" uniqueCount="110">
  <si>
    <t>Drahtdurchmesser :</t>
  </si>
  <si>
    <t>Meter</t>
  </si>
  <si>
    <t>Drahtlänge :</t>
  </si>
  <si>
    <t>Spulendurchmesser :</t>
  </si>
  <si>
    <t>PI</t>
  </si>
  <si>
    <t>c</t>
  </si>
  <si>
    <t>Meter/Sekunde</t>
  </si>
  <si>
    <t xml:space="preserve">Vorschub : </t>
  </si>
  <si>
    <t>Windungslänge :</t>
  </si>
  <si>
    <t>Windungen :</t>
  </si>
  <si>
    <t>Windungen</t>
  </si>
  <si>
    <t>Spulenlänge :</t>
  </si>
  <si>
    <t>Induktivität :</t>
  </si>
  <si>
    <t>Lambda/4</t>
  </si>
  <si>
    <t>Fres :</t>
  </si>
  <si>
    <t>Herz</t>
  </si>
  <si>
    <t>Spule 10cm , 0.212mm</t>
  </si>
  <si>
    <t>Spule 12.5cm , 0.212 mm</t>
  </si>
  <si>
    <t>Drahtlänge</t>
  </si>
  <si>
    <t>Windungen</t>
  </si>
  <si>
    <t>Spulenlänge</t>
  </si>
  <si>
    <t>Induktivität [mH]</t>
  </si>
  <si>
    <t>Fres [Hz]</t>
  </si>
  <si>
    <t>TopLoad [pF]</t>
  </si>
  <si>
    <t>Drahtlänge</t>
  </si>
  <si>
    <t>Windungen</t>
  </si>
  <si>
    <t>Spulenlänge</t>
  </si>
  <si>
    <t>Induktivität [mH]</t>
  </si>
  <si>
    <t>Fres [Hz]</t>
  </si>
  <si>
    <t>TopLoad [pF]</t>
  </si>
  <si>
    <t>Eigenkapazität</t>
  </si>
  <si>
    <t>TopCapacity</t>
  </si>
  <si>
    <t>pF</t>
  </si>
  <si>
    <t>H</t>
  </si>
  <si>
    <t>TopLoad</t>
  </si>
  <si>
    <t>Tot Kapazität</t>
  </si>
  <si>
    <t>Konkret :</t>
  </si>
  <si>
    <t>Teslaspule Berechnung</t>
  </si>
  <si>
    <t>Ausfüllen</t>
  </si>
  <si>
    <t>Resultate</t>
  </si>
  <si>
    <t>optimal : Windung an Windung , kein abstand dazwischen !</t>
  </si>
  <si>
    <t xml:space="preserve">Toroid für </t>
  </si>
  <si>
    <t>D2 = 0.1m</t>
  </si>
  <si>
    <t>D1 [inch]</t>
  </si>
  <si>
    <t>D1 [m]</t>
  </si>
  <si>
    <t>TI89 rulez !!!!!!!</t>
  </si>
  <si>
    <t>Drahtlänge hoiz. :</t>
  </si>
  <si>
    <t>Resultate für eine halbe horizontale Spule</t>
  </si>
  <si>
    <t>für eine Seite der Spule</t>
  </si>
  <si>
    <t>TopLoad ges.</t>
  </si>
  <si>
    <t>über die ganze Länge der Spule</t>
  </si>
  <si>
    <t>halbiert sich die Drahtlänge, und verdoppelt sich die Resonanzfrequenz.</t>
  </si>
  <si>
    <t xml:space="preserve">Da die Spule horizontal in der Mitte angeregt wird, </t>
  </si>
  <si>
    <t>Vorgaben</t>
  </si>
  <si>
    <t>Messung</t>
  </si>
  <si>
    <t>Teslaspule nach Bau (TC_03)</t>
  </si>
  <si>
    <t>Teslaspule nach Bau (Beast)</t>
  </si>
  <si>
    <t>Messung für eine halbe horizontale Spule</t>
  </si>
  <si>
    <t>Berechnung Primärseite</t>
  </si>
  <si>
    <t>Vorgaben :</t>
  </si>
  <si>
    <t>HV-Trafo Spannung (rms) :</t>
  </si>
  <si>
    <t>Volt</t>
  </si>
  <si>
    <t>HV-Trafo Strom (rms) :</t>
  </si>
  <si>
    <t>Resonanzfrequenz Sekundär :</t>
  </si>
  <si>
    <t>Resultate :</t>
  </si>
  <si>
    <t>Primärkapazität :</t>
  </si>
  <si>
    <t>HV-Frequenz</t>
  </si>
  <si>
    <t>Gesamtleistung :</t>
  </si>
  <si>
    <t>Watt</t>
  </si>
  <si>
    <t>Amperè</t>
  </si>
  <si>
    <t>pi :</t>
  </si>
  <si>
    <t>nF</t>
  </si>
  <si>
    <t>Primärinduktivität :</t>
  </si>
  <si>
    <t>uH</t>
  </si>
  <si>
    <t>Flache Primärspule</t>
  </si>
  <si>
    <t>Anzahl Windungen :</t>
  </si>
  <si>
    <t>Mittlerer Radius :</t>
  </si>
  <si>
    <t>Breite der Spule :</t>
  </si>
  <si>
    <t>cm</t>
  </si>
  <si>
    <t>inch</t>
  </si>
  <si>
    <t>Therry Formel</t>
  </si>
  <si>
    <t>Normale Primärspule</t>
  </si>
  <si>
    <t>Länge der Spule :</t>
  </si>
  <si>
    <t>m</t>
  </si>
  <si>
    <t>Konische Primärspule</t>
  </si>
  <si>
    <t>N =</t>
  </si>
  <si>
    <t>R =</t>
  </si>
  <si>
    <t>W =</t>
  </si>
  <si>
    <t xml:space="preserve">N = </t>
  </si>
  <si>
    <t>H =</t>
  </si>
  <si>
    <t>Radius der Spule :</t>
  </si>
  <si>
    <t>Radius</t>
  </si>
  <si>
    <t>Breite der Wicklung :</t>
  </si>
  <si>
    <t xml:space="preserve">W = </t>
  </si>
  <si>
    <t>Höhe der Wicklung :</t>
  </si>
  <si>
    <t>Induktivität L1</t>
  </si>
  <si>
    <t>Induktivität L2</t>
  </si>
  <si>
    <t>Winkel :</t>
  </si>
  <si>
    <t>rad</t>
  </si>
  <si>
    <t>Grad</t>
  </si>
  <si>
    <t>aus Sekundärspule</t>
  </si>
  <si>
    <t>gemessen :</t>
  </si>
  <si>
    <t>neue Top Load</t>
  </si>
  <si>
    <t>Messung der Resonanzfrequenz der Spule per 6.6.2003</t>
  </si>
  <si>
    <t>fres :</t>
  </si>
  <si>
    <t>148kHz</t>
  </si>
  <si>
    <t xml:space="preserve">Generator : </t>
  </si>
  <si>
    <t>HPXXXX</t>
  </si>
  <si>
    <t>KO:</t>
  </si>
  <si>
    <t>Tektronix 3014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</si>
</sst>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"/>
    <numFmt numFmtId="173" formatCode="0.0"/>
    <numFmt numFmtId="174" formatCode="0.0000"/>
    <numFmt numFmtId="175" formatCode="0.000000"/>
    <numFmt numFmtId="176" formatCode="h\z"/>
    <numFmt numFmtId="177" formatCode="Generalh\z"/>
  </numFmts>
  <fonts count="20">
    <font>
      <sz val="10"/>
      <name val="Arial"/>
      <family val="0"/>
    </font>
    <font>
      <b/>
      <sz val="20"/>
      <color indexed="8"/>
      <name val="Albany"/>
      <family val="2"/>
    </font>
    <font>
      <sz val="10"/>
      <color indexed="8"/>
      <name val="Albany"/>
      <family val="2"/>
    </font>
    <font>
      <sz val="19.25"/>
      <name val="Arial"/>
      <family val="0"/>
    </font>
    <font>
      <sz val="19.5"/>
      <name val="Arial"/>
      <family val="0"/>
    </font>
    <font>
      <sz val="20.25"/>
      <name val="Arial"/>
      <family val="0"/>
    </font>
    <font>
      <b/>
      <sz val="22.75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9.5"/>
      <name val="Arial"/>
      <family val="2"/>
    </font>
    <font>
      <sz val="16"/>
      <name val="Arial"/>
      <family val="2"/>
    </font>
    <font>
      <b/>
      <sz val="10"/>
      <color indexed="8"/>
      <name val="Albany"/>
      <family val="0"/>
    </font>
    <font>
      <b/>
      <sz val="22"/>
      <name val="Arial"/>
      <family val="0"/>
    </font>
    <font>
      <b/>
      <sz val="8.5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sz val="8.5"/>
      <name val="Arial"/>
      <family val="0"/>
    </font>
    <font>
      <sz val="10"/>
      <name val="Albany"/>
      <family val="0"/>
    </font>
    <font>
      <b/>
      <sz val="16"/>
      <color indexed="8"/>
      <name val="Albany"/>
      <family val="0"/>
    </font>
    <font>
      <sz val="16"/>
      <color indexed="8"/>
      <name val="Albany"/>
      <family val="0"/>
    </font>
  </fonts>
  <fills count="2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63"/>
      </top>
      <bottom style="medium"/>
    </border>
    <border>
      <left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72" fontId="2" fillId="0" borderId="0" xfId="0" applyAlignment="1">
      <alignment/>
    </xf>
    <xf numFmtId="0" fontId="2" fillId="2" borderId="0" xfId="0" applyAlignment="1">
      <alignment/>
    </xf>
    <xf numFmtId="0" fontId="2" fillId="0" borderId="0" xfId="0" applyAlignment="1">
      <alignment/>
    </xf>
    <xf numFmtId="0" fontId="2" fillId="3" borderId="0" xfId="0" applyAlignment="1">
      <alignment/>
    </xf>
    <xf numFmtId="0" fontId="2" fillId="4" borderId="0" xfId="0" applyAlignment="1">
      <alignment/>
    </xf>
    <xf numFmtId="0" fontId="2" fillId="5" borderId="0" xfId="0" applyAlignment="1">
      <alignment/>
    </xf>
    <xf numFmtId="0" fontId="2" fillId="6" borderId="0" xfId="0" applyAlignment="1">
      <alignment/>
    </xf>
    <xf numFmtId="2" fontId="2" fillId="0" borderId="0" xfId="0" applyAlignment="1">
      <alignment/>
    </xf>
    <xf numFmtId="174" fontId="2" fillId="0" borderId="0" xfId="0" applyAlignment="1">
      <alignment/>
    </xf>
    <xf numFmtId="0" fontId="0" fillId="0" borderId="0" xfId="0" applyAlignment="1">
      <alignment/>
    </xf>
    <xf numFmtId="2" fontId="2" fillId="2" borderId="0" xfId="0" applyAlignment="1">
      <alignment/>
    </xf>
    <xf numFmtId="174" fontId="2" fillId="2" borderId="0" xfId="0" applyAlignment="1">
      <alignment/>
    </xf>
    <xf numFmtId="2" fontId="2" fillId="3" borderId="0" xfId="0" applyAlignment="1">
      <alignment/>
    </xf>
    <xf numFmtId="174" fontId="2" fillId="3" borderId="0" xfId="0" applyAlignment="1">
      <alignment/>
    </xf>
    <xf numFmtId="2" fontId="2" fillId="4" borderId="0" xfId="0" applyAlignment="1">
      <alignment/>
    </xf>
    <xf numFmtId="174" fontId="2" fillId="4" borderId="0" xfId="0" applyAlignment="1">
      <alignment/>
    </xf>
    <xf numFmtId="2" fontId="2" fillId="5" borderId="0" xfId="0" applyAlignment="1">
      <alignment/>
    </xf>
    <xf numFmtId="174" fontId="2" fillId="5" borderId="0" xfId="0" applyAlignment="1">
      <alignment/>
    </xf>
    <xf numFmtId="174" fontId="2" fillId="0" borderId="0" xfId="0" applyNumberFormat="1" applyAlignment="1">
      <alignment/>
    </xf>
    <xf numFmtId="2" fontId="2" fillId="0" borderId="0" xfId="0" applyFont="1" applyAlignment="1">
      <alignment/>
    </xf>
    <xf numFmtId="0" fontId="0" fillId="7" borderId="0" xfId="0" applyFill="1" applyAlignment="1">
      <alignment/>
    </xf>
    <xf numFmtId="172" fontId="2" fillId="0" borderId="0" xfId="0" applyBorder="1" applyAlignment="1">
      <alignment/>
    </xf>
    <xf numFmtId="0" fontId="2" fillId="4" borderId="0" xfId="0" applyFont="1" applyAlignment="1">
      <alignment/>
    </xf>
    <xf numFmtId="0" fontId="2" fillId="8" borderId="0" xfId="0" applyFill="1" applyAlignment="1">
      <alignment/>
    </xf>
    <xf numFmtId="2" fontId="2" fillId="8" borderId="0" xfId="0" applyFill="1" applyAlignment="1">
      <alignment/>
    </xf>
    <xf numFmtId="174" fontId="2" fillId="8" borderId="0" xfId="0" applyFill="1" applyAlignment="1">
      <alignment/>
    </xf>
    <xf numFmtId="0" fontId="0" fillId="9" borderId="0" xfId="0" applyFill="1" applyAlignment="1">
      <alignment/>
    </xf>
    <xf numFmtId="1" fontId="2" fillId="0" borderId="0" xfId="0" applyNumberFormat="1" applyAlignment="1">
      <alignment/>
    </xf>
    <xf numFmtId="2" fontId="2" fillId="5" borderId="1" xfId="0" applyNumberFormat="1" applyAlignment="1">
      <alignment/>
    </xf>
    <xf numFmtId="2" fontId="2" fillId="10" borderId="1" xfId="0" applyNumberFormat="1" applyFill="1" applyAlignment="1">
      <alignment/>
    </xf>
    <xf numFmtId="0" fontId="2" fillId="10" borderId="0" xfId="0" applyFont="1" applyFill="1" applyAlignment="1">
      <alignment/>
    </xf>
    <xf numFmtId="2" fontId="0" fillId="7" borderId="2" xfId="0" applyNumberFormat="1" applyFill="1" applyBorder="1" applyAlignment="1">
      <alignment/>
    </xf>
    <xf numFmtId="2" fontId="2" fillId="3" borderId="1" xfId="0" applyNumberFormat="1" applyAlignment="1">
      <alignment/>
    </xf>
    <xf numFmtId="175" fontId="2" fillId="11" borderId="1" xfId="0" applyNumberFormat="1" applyAlignment="1">
      <alignment/>
    </xf>
    <xf numFmtId="1" fontId="2" fillId="11" borderId="1" xfId="0" applyNumberFormat="1" applyAlignment="1">
      <alignment/>
    </xf>
    <xf numFmtId="0" fontId="0" fillId="12" borderId="0" xfId="0" applyFill="1" applyAlignment="1">
      <alignment/>
    </xf>
    <xf numFmtId="2" fontId="0" fillId="12" borderId="2" xfId="0" applyNumberFormat="1" applyFill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175" fontId="2" fillId="0" borderId="0" xfId="0" applyNumberFormat="1" applyAlignment="1">
      <alignment/>
    </xf>
    <xf numFmtId="175" fontId="2" fillId="3" borderId="1" xfId="0" applyNumberFormat="1" applyAlignment="1">
      <alignment/>
    </xf>
    <xf numFmtId="175" fontId="2" fillId="4" borderId="1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ill="1" applyAlignment="1">
      <alignment/>
    </xf>
    <xf numFmtId="0" fontId="2" fillId="0" borderId="0" xfId="0" applyFill="1" applyBorder="1" applyAlignment="1">
      <alignment/>
    </xf>
    <xf numFmtId="0" fontId="2" fillId="0" borderId="0" xfId="0" applyFill="1" applyBorder="1" applyAlignment="1">
      <alignment/>
    </xf>
    <xf numFmtId="172" fontId="2" fillId="0" borderId="0" xfId="0" applyBorder="1" applyAlignment="1">
      <alignment/>
    </xf>
    <xf numFmtId="175" fontId="2" fillId="0" borderId="0" xfId="0" applyNumberFormat="1" applyFill="1" applyBorder="1" applyAlignment="1">
      <alignment/>
    </xf>
    <xf numFmtId="0" fontId="2" fillId="2" borderId="0" xfId="0" applyBorder="1" applyAlignment="1">
      <alignment/>
    </xf>
    <xf numFmtId="0" fontId="2" fillId="2" borderId="0" xfId="0" applyBorder="1" applyAlignment="1">
      <alignment/>
    </xf>
    <xf numFmtId="175" fontId="2" fillId="11" borderId="5" xfId="0" applyNumberFormat="1" applyBorder="1" applyAlignment="1">
      <alignment/>
    </xf>
    <xf numFmtId="1" fontId="2" fillId="11" borderId="5" xfId="0" applyNumberFormat="1" applyBorder="1" applyAlignment="1">
      <alignment/>
    </xf>
    <xf numFmtId="172" fontId="2" fillId="0" borderId="0" xfId="0" applyBorder="1" applyAlignment="1">
      <alignment/>
    </xf>
    <xf numFmtId="0" fontId="11" fillId="0" borderId="0" xfId="0" applyFont="1" applyFill="1" applyBorder="1" applyAlignment="1">
      <alignment/>
    </xf>
    <xf numFmtId="172" fontId="2" fillId="0" borderId="0" xfId="0" applyBorder="1" applyAlignment="1">
      <alignment/>
    </xf>
    <xf numFmtId="0" fontId="2" fillId="13" borderId="0" xfId="0" applyFont="1" applyFill="1" applyAlignment="1">
      <alignment/>
    </xf>
    <xf numFmtId="0" fontId="2" fillId="13" borderId="0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1" fontId="2" fillId="0" borderId="0" xfId="0" applyNumberFormat="1" applyBorder="1" applyAlignment="1">
      <alignment/>
    </xf>
    <xf numFmtId="175" fontId="2" fillId="13" borderId="2" xfId="0" applyNumberFormat="1" applyFont="1" applyFill="1" applyBorder="1" applyAlignment="1">
      <alignment/>
    </xf>
    <xf numFmtId="0" fontId="2" fillId="5" borderId="0" xfId="0" applyFont="1" applyAlignment="1">
      <alignment/>
    </xf>
    <xf numFmtId="0" fontId="2" fillId="0" borderId="0" xfId="0" applyFill="1" applyBorder="1" applyAlignment="1">
      <alignment/>
    </xf>
    <xf numFmtId="0" fontId="2" fillId="0" borderId="0" xfId="0" applyFill="1" applyBorder="1" applyAlignment="1">
      <alignment/>
    </xf>
    <xf numFmtId="0" fontId="2" fillId="0" borderId="0" xfId="0" applyFill="1" applyBorder="1" applyAlignment="1">
      <alignment/>
    </xf>
    <xf numFmtId="0" fontId="2" fillId="0" borderId="0" xfId="0" applyFill="1" applyBorder="1" applyAlignment="1">
      <alignment/>
    </xf>
    <xf numFmtId="0" fontId="17" fillId="14" borderId="0" xfId="0" applyFont="1" applyFill="1" applyAlignment="1">
      <alignment/>
    </xf>
    <xf numFmtId="0" fontId="17" fillId="14" borderId="0" xfId="0" applyFont="1" applyFill="1" applyBorder="1" applyAlignment="1">
      <alignment/>
    </xf>
    <xf numFmtId="0" fontId="17" fillId="14" borderId="0" xfId="0" applyFont="1" applyFill="1" applyBorder="1" applyAlignment="1">
      <alignment/>
    </xf>
    <xf numFmtId="175" fontId="2" fillId="3" borderId="6" xfId="0" applyNumberFormat="1" applyBorder="1" applyAlignment="1">
      <alignment/>
    </xf>
    <xf numFmtId="175" fontId="11" fillId="0" borderId="0" xfId="0" applyNumberFormat="1" applyFont="1" applyFill="1" applyBorder="1" applyAlignment="1">
      <alignment/>
    </xf>
    <xf numFmtId="0" fontId="2" fillId="0" borderId="0" xfId="0" applyFill="1" applyBorder="1" applyAlignment="1">
      <alignment/>
    </xf>
    <xf numFmtId="0" fontId="2" fillId="0" borderId="0" xfId="0" applyFill="1" applyBorder="1" applyAlignment="1">
      <alignment/>
    </xf>
    <xf numFmtId="0" fontId="2" fillId="0" borderId="0" xfId="0" applyFill="1" applyBorder="1" applyAlignment="1">
      <alignment/>
    </xf>
    <xf numFmtId="1" fontId="17" fillId="14" borderId="2" xfId="0" applyNumberFormat="1" applyFont="1" applyFill="1" applyBorder="1" applyAlignment="1">
      <alignment/>
    </xf>
    <xf numFmtId="175" fontId="18" fillId="9" borderId="7" xfId="0" applyNumberFormat="1" applyFont="1" applyFill="1" applyBorder="1" applyAlignment="1">
      <alignment/>
    </xf>
    <xf numFmtId="0" fontId="19" fillId="9" borderId="8" xfId="0" applyFont="1" applyFill="1" applyBorder="1" applyAlignment="1">
      <alignment/>
    </xf>
    <xf numFmtId="0" fontId="2" fillId="9" borderId="8" xfId="0" applyFill="1" applyBorder="1" applyAlignment="1">
      <alignment/>
    </xf>
    <xf numFmtId="0" fontId="2" fillId="9" borderId="9" xfId="0" applyFill="1" applyBorder="1" applyAlignment="1">
      <alignment/>
    </xf>
    <xf numFmtId="175" fontId="18" fillId="9" borderId="10" xfId="0" applyNumberFormat="1" applyFont="1" applyFill="1" applyBorder="1" applyAlignment="1">
      <alignment/>
    </xf>
    <xf numFmtId="0" fontId="19" fillId="9" borderId="11" xfId="0" applyFont="1" applyFill="1" applyBorder="1" applyAlignment="1">
      <alignment/>
    </xf>
    <xf numFmtId="0" fontId="19" fillId="9" borderId="12" xfId="0" applyFont="1" applyFill="1" applyBorder="1" applyAlignment="1">
      <alignment/>
    </xf>
    <xf numFmtId="0" fontId="2" fillId="9" borderId="12" xfId="0" applyFill="1" applyBorder="1" applyAlignment="1">
      <alignment/>
    </xf>
    <xf numFmtId="0" fontId="2" fillId="9" borderId="13" xfId="0" applyFill="1" applyBorder="1" applyAlignment="1">
      <alignment/>
    </xf>
    <xf numFmtId="0" fontId="7" fillId="0" borderId="0" xfId="0" applyFont="1" applyAlignment="1">
      <alignment/>
    </xf>
    <xf numFmtId="0" fontId="2" fillId="2" borderId="0" xfId="0" applyFill="1" applyBorder="1" applyAlignment="1">
      <alignment/>
    </xf>
    <xf numFmtId="175" fontId="2" fillId="15" borderId="5" xfId="0" applyNumberFormat="1" applyFill="1" applyBorder="1" applyAlignment="1">
      <alignment/>
    </xf>
    <xf numFmtId="0" fontId="2" fillId="2" borderId="0" xfId="0" applyFill="1" applyBorder="1" applyAlignment="1">
      <alignment/>
    </xf>
    <xf numFmtId="0" fontId="0" fillId="16" borderId="0" xfId="0" applyFill="1" applyAlignment="1">
      <alignment/>
    </xf>
    <xf numFmtId="1" fontId="2" fillId="15" borderId="5" xfId="0" applyNumberFormat="1" applyFill="1" applyBorder="1" applyAlignment="1">
      <alignment/>
    </xf>
    <xf numFmtId="0" fontId="0" fillId="17" borderId="0" xfId="0" applyFill="1" applyAlignment="1">
      <alignment/>
    </xf>
    <xf numFmtId="0" fontId="2" fillId="3" borderId="0" xfId="0" applyFill="1" applyAlignment="1">
      <alignment/>
    </xf>
    <xf numFmtId="0" fontId="2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18" borderId="0" xfId="0" applyFill="1" applyAlignment="1">
      <alignment/>
    </xf>
    <xf numFmtId="0" fontId="2" fillId="5" borderId="0" xfId="0" applyFill="1" applyAlignment="1">
      <alignment/>
    </xf>
    <xf numFmtId="2" fontId="2" fillId="5" borderId="1" xfId="0" applyNumberFormat="1" applyFill="1" applyAlignment="1">
      <alignment/>
    </xf>
    <xf numFmtId="0" fontId="0" fillId="19" borderId="0" xfId="0" applyFill="1" applyAlignment="1">
      <alignment/>
    </xf>
    <xf numFmtId="175" fontId="2" fillId="13" borderId="5" xfId="0" applyNumberFormat="1" applyFont="1" applyFill="1" applyBorder="1" applyAlignment="1">
      <alignment/>
    </xf>
    <xf numFmtId="0" fontId="2" fillId="3" borderId="0" xfId="0" applyFill="1" applyBorder="1" applyAlignment="1">
      <alignment/>
    </xf>
    <xf numFmtId="0" fontId="2" fillId="3" borderId="0" xfId="0" applyFill="1" applyBorder="1" applyAlignment="1">
      <alignment/>
    </xf>
    <xf numFmtId="175" fontId="2" fillId="3" borderId="14" xfId="0" applyNumberFormat="1" applyFill="1" applyBorder="1" applyAlignment="1">
      <alignment/>
    </xf>
    <xf numFmtId="2" fontId="2" fillId="3" borderId="5" xfId="0" applyNumberFormat="1" applyFill="1" applyBorder="1" applyAlignment="1">
      <alignment/>
    </xf>
    <xf numFmtId="175" fontId="2" fillId="4" borderId="6" xfId="0" applyNumberFormat="1" applyFill="1" applyBorder="1" applyAlignment="1">
      <alignment/>
    </xf>
    <xf numFmtId="175" fontId="2" fillId="3" borderId="5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0" xfId="0" applyBorder="1" applyAlignment="1">
      <alignment/>
    </xf>
    <xf numFmtId="0" fontId="2" fillId="3" borderId="0" xfId="0" applyBorder="1" applyAlignment="1">
      <alignment/>
    </xf>
    <xf numFmtId="175" fontId="2" fillId="4" borderId="6" xfId="0" applyNumberFormat="1" applyBorder="1" applyAlignment="1">
      <alignment/>
    </xf>
    <xf numFmtId="175" fontId="2" fillId="3" borderId="5" xfId="0" applyNumberFormat="1" applyBorder="1" applyAlignment="1">
      <alignment/>
    </xf>
    <xf numFmtId="175" fontId="2" fillId="3" borderId="15" xfId="0" applyNumberFormat="1" applyBorder="1" applyAlignment="1">
      <alignment/>
    </xf>
    <xf numFmtId="2" fontId="2" fillId="3" borderId="5" xfId="0" applyNumberFormat="1" applyBorder="1" applyAlignment="1">
      <alignment/>
    </xf>
    <xf numFmtId="1" fontId="17" fillId="14" borderId="5" xfId="0" applyNumberFormat="1" applyFont="1" applyFill="1" applyBorder="1" applyAlignment="1">
      <alignment/>
    </xf>
    <xf numFmtId="0" fontId="0" fillId="17" borderId="2" xfId="0" applyFill="1" applyBorder="1" applyAlignment="1">
      <alignment/>
    </xf>
    <xf numFmtId="0" fontId="0" fillId="20" borderId="5" xfId="0" applyFill="1" applyBorder="1" applyAlignment="1">
      <alignment/>
    </xf>
    <xf numFmtId="2" fontId="2" fillId="21" borderId="5" xfId="0" applyNumberFormat="1" applyFill="1" applyBorder="1" applyAlignment="1">
      <alignment/>
    </xf>
    <xf numFmtId="0" fontId="7" fillId="9" borderId="0" xfId="0" applyFont="1" applyFill="1" applyAlignment="1">
      <alignment/>
    </xf>
    <xf numFmtId="0" fontId="0" fillId="18" borderId="5" xfId="0" applyFill="1" applyBorder="1" applyAlignment="1">
      <alignment/>
    </xf>
    <xf numFmtId="0" fontId="0" fillId="18" borderId="2" xfId="0" applyFill="1" applyBorder="1" applyAlignment="1">
      <alignment/>
    </xf>
    <xf numFmtId="0" fontId="0" fillId="12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9" borderId="2" xfId="0" applyFill="1" applyBorder="1" applyAlignment="1">
      <alignment/>
    </xf>
    <xf numFmtId="0" fontId="8" fillId="7" borderId="0" xfId="0" applyFont="1" applyFill="1" applyAlignment="1">
      <alignment/>
    </xf>
    <xf numFmtId="0" fontId="0" fillId="2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CCFFFF"/>
      <rgbColor rgb="00EB613D"/>
      <rgbColor rgb="00FFCC99"/>
      <rgbColor rgb="00FFFF00"/>
      <rgbColor rgb="00FFFF99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Druchmesser Toroid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685"/>
          <c:w val="0.88275"/>
          <c:h val="0.88525"/>
        </c:manualLayout>
      </c:layout>
      <c:scatterChart>
        <c:scatterStyle val="smooth"/>
        <c:varyColors val="0"/>
        <c:ser>
          <c:idx val="0"/>
          <c:order val="0"/>
          <c:tx>
            <c:v>Druchmesser Toroid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'Toroid D2 = 10cm'!$A$5:$A$14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'Toroid D2 = 10cm'!$C$5:$C$14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742475"/>
        <c:axId val="42682276"/>
      </c:scatterChart>
      <c:val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Kapazität [pF]</a:t>
                </a:r>
              </a:p>
            </c:rich>
          </c:tx>
          <c:layout>
            <c:manualLayout>
              <c:xMode val="factor"/>
              <c:yMode val="factor"/>
              <c:x val="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crossBetween val="midCat"/>
        <c:dispUnits/>
        <c:majorUnit val="2.5"/>
      </c:valAx>
      <c:valAx>
        <c:axId val="426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Durchmesser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Spulenlänge
[m]
</a:t>
            </a:r>
          </a:p>
        </c:rich>
      </c:tx>
      <c:layout>
        <c:manualLayout>
          <c:xMode val="factor"/>
          <c:yMode val="factor"/>
          <c:x val="0.348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035"/>
          <c:w val="0.701"/>
          <c:h val="0.985"/>
        </c:manualLayout>
      </c:layout>
      <c:scatterChart>
        <c:scatterStyle val="smooth"/>
        <c:varyColors val="0"/>
        <c:ser>
          <c:idx val="0"/>
          <c:order val="0"/>
          <c:tx>
            <c:v>Spulenlänge bei 10cm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Grafiken!$A$4:$A$22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Grafiken!$C$4:$C$22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Spulenlänge bei 12.5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Grafiken!$A$4:$A$22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Grafiken!$K$4:$K$22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Konkrete Spulenlänge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Grafiken!$C$29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Grafiken!$C$37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8596165"/>
        <c:axId val="34712302"/>
      </c:scatterChart>
      <c:valAx>
        <c:axId val="4859616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crossBetween val="midCat"/>
        <c:dispUnits/>
      </c:valAx>
      <c:valAx>
        <c:axId val="3471230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4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Resonazfrequenz
[Hz]
</a:t>
            </a:r>
          </a:p>
        </c:rich>
      </c:tx>
      <c:layout>
        <c:manualLayout>
          <c:xMode val="factor"/>
          <c:yMode val="factor"/>
          <c:x val="0.3807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"/>
          <c:w val="0.78475"/>
          <c:h val="0.98125"/>
        </c:manualLayout>
      </c:layout>
      <c:scatterChart>
        <c:scatterStyle val="smooth"/>
        <c:varyColors val="0"/>
        <c:ser>
          <c:idx val="0"/>
          <c:order val="0"/>
          <c:tx>
            <c:v>Resonazfrequenz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Grafiken!$A$4:$A$22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Grafiken!$E$4:$E$22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Fres Konkret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Grafiken!$C$29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Grafiken!$C$41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3975263"/>
        <c:axId val="60233048"/>
      </c:scatterChart>
      <c:valAx>
        <c:axId val="4397526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crossBetween val="midCat"/>
        <c:dispUnits/>
      </c:valAx>
      <c:valAx>
        <c:axId val="60233048"/>
        <c:scaling>
          <c:orientation val="minMax"/>
        </c:scaling>
        <c:axPos val="l"/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43975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5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Top Load 
[pF]</a:t>
            </a:r>
          </a:p>
        </c:rich>
      </c:tx>
      <c:layout>
        <c:manualLayout>
          <c:xMode val="factor"/>
          <c:yMode val="factor"/>
          <c:x val="0.3505"/>
          <c:y val="0.05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1625"/>
          <c:w val="0.7185"/>
          <c:h val="0.98375"/>
        </c:manualLayout>
      </c:layout>
      <c:scatterChart>
        <c:scatterStyle val="smooth"/>
        <c:varyColors val="0"/>
        <c:ser>
          <c:idx val="0"/>
          <c:order val="0"/>
          <c:tx>
            <c:v>Kapaität bei 10cm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Grafiken!$A$4:$A$22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Grafiken!$F$4:$F$22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Kapazität bei 12.5cm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Grafiken!$A$4:$A$22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Grafiken!$N$4:$N$22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Eigenkapazität bei 10cm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Grafiken!$A$4:$A$22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Grafiken!$G$4:$G$22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Eigenkapazität bei 12.5cm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Grafiken!$A$4:$A$22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Grafiken!$O$4:$O$22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TopLoad 10cm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Grafiken!$A$4:$A$22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Grafiken!$H$4:$H$22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TopLoad 12.5cm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Grafiken!$A$4:$A$22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Grafiken!$P$4:$P$22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Konkret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Grafiken!$C$29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Grafiken!$C$47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226521"/>
        <c:axId val="47038690"/>
      </c:scatterChart>
      <c:valAx>
        <c:axId val="522652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038690"/>
        <c:crosses val="autoZero"/>
        <c:crossBetween val="midCat"/>
        <c:dispUnits/>
      </c:valAx>
      <c:valAx>
        <c:axId val="4703869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26521"/>
        <c:crosses val="autoZero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30175"/>
          <c:w val="0.28475"/>
          <c:h val="0.301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14</xdr:row>
      <xdr:rowOff>47625</xdr:rowOff>
    </xdr:from>
    <xdr:to>
      <xdr:col>10</xdr:col>
      <xdr:colOff>142875</xdr:colOff>
      <xdr:row>19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724150"/>
          <a:ext cx="14287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590550</xdr:colOff>
      <xdr:row>18</xdr:row>
      <xdr:rowOff>104775</xdr:rowOff>
    </xdr:from>
    <xdr:to>
      <xdr:col>7</xdr:col>
      <xdr:colOff>47625</xdr:colOff>
      <xdr:row>20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3476625"/>
          <a:ext cx="6762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552450</xdr:colOff>
      <xdr:row>6</xdr:row>
      <xdr:rowOff>85725</xdr:rowOff>
    </xdr:from>
    <xdr:to>
      <xdr:col>12</xdr:col>
      <xdr:colOff>361950</xdr:colOff>
      <xdr:row>8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266825"/>
          <a:ext cx="28575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561975</xdr:colOff>
      <xdr:row>7</xdr:row>
      <xdr:rowOff>104775</xdr:rowOff>
    </xdr:from>
    <xdr:to>
      <xdr:col>7</xdr:col>
      <xdr:colOff>19050</xdr:colOff>
      <xdr:row>9</xdr:row>
      <xdr:rowOff>76200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67325" y="1447800"/>
          <a:ext cx="6762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542925</xdr:colOff>
      <xdr:row>28</xdr:row>
      <xdr:rowOff>0</xdr:rowOff>
    </xdr:from>
    <xdr:to>
      <xdr:col>12</xdr:col>
      <xdr:colOff>352425</xdr:colOff>
      <xdr:row>31</xdr:row>
      <xdr:rowOff>76200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67475" y="5219700"/>
          <a:ext cx="28575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561975</xdr:colOff>
      <xdr:row>33</xdr:row>
      <xdr:rowOff>85725</xdr:rowOff>
    </xdr:from>
    <xdr:to>
      <xdr:col>8</xdr:col>
      <xdr:colOff>161925</xdr:colOff>
      <xdr:row>35</xdr:row>
      <xdr:rowOff>57150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67325" y="6124575"/>
          <a:ext cx="14287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66675</xdr:rowOff>
    </xdr:from>
    <xdr:to>
      <xdr:col>10</xdr:col>
      <xdr:colOff>152400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14625" y="66675"/>
        <a:ext cx="49625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154</xdr:row>
      <xdr:rowOff>47625</xdr:rowOff>
    </xdr:from>
    <xdr:to>
      <xdr:col>15</xdr:col>
      <xdr:colOff>685800</xdr:colOff>
      <xdr:row>205</xdr:row>
      <xdr:rowOff>104775</xdr:rowOff>
    </xdr:to>
    <xdr:graphicFrame>
      <xdr:nvGraphicFramePr>
        <xdr:cNvPr id="1" name="Chart 2"/>
        <xdr:cNvGraphicFramePr/>
      </xdr:nvGraphicFramePr>
      <xdr:xfrm>
        <a:off x="85725" y="25155525"/>
        <a:ext cx="1133475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15</xdr:col>
      <xdr:colOff>657225</xdr:colOff>
      <xdr:row>153</xdr:row>
      <xdr:rowOff>104775</xdr:rowOff>
    </xdr:to>
    <xdr:graphicFrame>
      <xdr:nvGraphicFramePr>
        <xdr:cNvPr id="2" name="Chart 3"/>
        <xdr:cNvGraphicFramePr/>
      </xdr:nvGraphicFramePr>
      <xdr:xfrm>
        <a:off x="0" y="16735425"/>
        <a:ext cx="11391900" cy="831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50</xdr:row>
      <xdr:rowOff>47625</xdr:rowOff>
    </xdr:from>
    <xdr:to>
      <xdr:col>15</xdr:col>
      <xdr:colOff>695325</xdr:colOff>
      <xdr:row>101</xdr:row>
      <xdr:rowOff>47625</xdr:rowOff>
    </xdr:to>
    <xdr:graphicFrame>
      <xdr:nvGraphicFramePr>
        <xdr:cNvPr id="3" name="Chart 5"/>
        <xdr:cNvGraphicFramePr/>
      </xdr:nvGraphicFramePr>
      <xdr:xfrm>
        <a:off x="66675" y="8315325"/>
        <a:ext cx="11363325" cy="825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4">
      <selection activeCell="J70" sqref="J70"/>
    </sheetView>
  </sheetViews>
  <sheetFormatPr defaultColWidth="9.140625" defaultRowHeight="12.75"/>
  <cols>
    <col min="1" max="1" width="20.00390625" style="0" customWidth="1"/>
    <col min="2" max="2" width="17.28125" style="0" customWidth="1"/>
    <col min="3" max="16384" width="11.28125" style="0" customWidth="1"/>
  </cols>
  <sheetData>
    <row r="1" spans="1:2" ht="26.25">
      <c r="A1" s="44" t="s">
        <v>37</v>
      </c>
      <c r="B1" s="1"/>
    </row>
    <row r="2" ht="12.75">
      <c r="B2" s="1"/>
    </row>
    <row r="3" ht="12.75">
      <c r="B3" s="22"/>
    </row>
    <row r="4" spans="1:2" ht="12.75">
      <c r="A4" s="38" t="s">
        <v>38</v>
      </c>
      <c r="B4" s="56"/>
    </row>
    <row r="5" ht="13.5" thickBot="1">
      <c r="B5" s="54"/>
    </row>
    <row r="6" spans="1:3" s="2" customFormat="1" ht="13.5" thickBot="1">
      <c r="A6" s="50" t="s">
        <v>0</v>
      </c>
      <c r="B6" s="52">
        <v>0.000355</v>
      </c>
      <c r="C6" s="51" t="s">
        <v>1</v>
      </c>
    </row>
    <row r="7" spans="1:3" s="2" customFormat="1" ht="13.5" thickBot="1">
      <c r="A7" s="50" t="s">
        <v>2</v>
      </c>
      <c r="B7" s="53">
        <v>600</v>
      </c>
      <c r="C7" s="51" t="s">
        <v>1</v>
      </c>
    </row>
    <row r="8" spans="1:3" s="2" customFormat="1" ht="13.5" thickBot="1">
      <c r="A8" s="50" t="s">
        <v>3</v>
      </c>
      <c r="B8" s="52">
        <v>0.125</v>
      </c>
      <c r="C8" s="51" t="s">
        <v>1</v>
      </c>
    </row>
    <row r="9" spans="1:3" s="45" customFormat="1" ht="12.75">
      <c r="A9" s="46"/>
      <c r="B9" s="49"/>
      <c r="C9" s="47"/>
    </row>
    <row r="10" spans="1:3" s="45" customFormat="1" ht="12.75">
      <c r="A10" s="46"/>
      <c r="B10" s="49"/>
      <c r="C10" s="47"/>
    </row>
    <row r="11" spans="1:3" s="45" customFormat="1" ht="12.75">
      <c r="A11" s="55" t="s">
        <v>39</v>
      </c>
      <c r="B11" s="49"/>
      <c r="C11" s="47"/>
    </row>
    <row r="12" spans="1:3" s="45" customFormat="1" ht="12.75">
      <c r="A12" s="46"/>
      <c r="B12" s="49"/>
      <c r="C12" s="47"/>
    </row>
    <row r="13" spans="1:2" s="3" customFormat="1" ht="12.75">
      <c r="A13" s="3" t="s">
        <v>4</v>
      </c>
      <c r="B13" s="48">
        <v>3.14159265359</v>
      </c>
    </row>
    <row r="14" spans="1:3" s="3" customFormat="1" ht="12.75">
      <c r="A14" s="3" t="s">
        <v>5</v>
      </c>
      <c r="B14" s="60">
        <v>300000000</v>
      </c>
      <c r="C14" s="3" t="s">
        <v>6</v>
      </c>
    </row>
    <row r="15" spans="1:5" s="57" customFormat="1" ht="12.75">
      <c r="A15" s="58" t="s">
        <v>7</v>
      </c>
      <c r="B15" s="61">
        <f>B6</f>
        <v>0.000355</v>
      </c>
      <c r="C15" s="59" t="s">
        <v>1</v>
      </c>
      <c r="E15" s="57" t="s">
        <v>40</v>
      </c>
    </row>
    <row r="16" s="3" customFormat="1" ht="12.75">
      <c r="B16" s="48"/>
    </row>
    <row r="17" spans="1:3" s="4" customFormat="1" ht="12.75">
      <c r="A17" s="4" t="s">
        <v>8</v>
      </c>
      <c r="B17" s="42">
        <f>SQRT((B8*B13)^2+B6^2)</f>
        <v>0.39269924215873087</v>
      </c>
      <c r="C17" s="4" t="s">
        <v>1</v>
      </c>
    </row>
    <row r="18" spans="1:3" s="4" customFormat="1" ht="12.75">
      <c r="A18" s="4" t="s">
        <v>9</v>
      </c>
      <c r="B18" s="33">
        <f>B7/B17</f>
        <v>1527.8868293753346</v>
      </c>
      <c r="C18" s="4" t="s">
        <v>10</v>
      </c>
    </row>
    <row r="19" spans="1:3" s="4" customFormat="1" ht="12.75">
      <c r="A19" s="4" t="s">
        <v>11</v>
      </c>
      <c r="B19" s="42">
        <f>B18*B15</f>
        <v>0.5423998244282439</v>
      </c>
      <c r="C19" s="4" t="s">
        <v>1</v>
      </c>
    </row>
    <row r="20" spans="1:3" s="5" customFormat="1" ht="12.75">
      <c r="A20" s="5" t="s">
        <v>12</v>
      </c>
      <c r="B20" s="43">
        <f>(4*B13*0.0000001)*(B18^2)*((B8^2)*B13/4)/B19</f>
        <v>0.06637164866008474</v>
      </c>
      <c r="C20" s="23" t="s">
        <v>33</v>
      </c>
    </row>
    <row r="21" s="3" customFormat="1" ht="12.75">
      <c r="B21" s="1"/>
    </row>
    <row r="22" spans="1:3" s="6" customFormat="1" ht="12.75">
      <c r="A22" s="6" t="s">
        <v>13</v>
      </c>
      <c r="B22" s="29">
        <f>B7</f>
        <v>600</v>
      </c>
      <c r="C22" s="6" t="s">
        <v>1</v>
      </c>
    </row>
    <row r="23" spans="1:3" s="6" customFormat="1" ht="12.75">
      <c r="A23" s="6" t="s">
        <v>14</v>
      </c>
      <c r="B23" s="29">
        <f>B14/(4*B22)</f>
        <v>125000</v>
      </c>
      <c r="C23" s="6" t="s">
        <v>15</v>
      </c>
    </row>
    <row r="24" s="3" customFormat="1" ht="12.75">
      <c r="B24" s="22"/>
    </row>
    <row r="25" spans="1:3" s="21" customFormat="1" ht="12.75">
      <c r="A25" s="21" t="s">
        <v>30</v>
      </c>
      <c r="B25" s="32">
        <f>(0.29*B19/0.0254)+(0.41*(B8/2)/0.0254)+(1.94*SQRT(((B8/2)/0.0254)^3/(B19/0.0254)))</f>
        <v>8.822034684853636</v>
      </c>
      <c r="C25" s="21" t="s">
        <v>32</v>
      </c>
    </row>
    <row r="27" spans="1:3" s="7" customFormat="1" ht="12.75">
      <c r="A27" s="31" t="s">
        <v>35</v>
      </c>
      <c r="B27" s="30">
        <f>(((1/(2*B13*B23))^2)/B20)*10^12</f>
        <v>24.425172057721202</v>
      </c>
      <c r="C27" s="31" t="s">
        <v>32</v>
      </c>
    </row>
    <row r="29" spans="1:3" s="36" customFormat="1" ht="12.75">
      <c r="A29" s="36" t="s">
        <v>34</v>
      </c>
      <c r="B29" s="37">
        <f>B27-B25</f>
        <v>15.603137372867566</v>
      </c>
      <c r="C29" s="36" t="s">
        <v>32</v>
      </c>
    </row>
    <row r="32" ht="63.75" customHeight="1"/>
    <row r="33" ht="26.25">
      <c r="A33" s="85" t="s">
        <v>55</v>
      </c>
    </row>
    <row r="36" spans="1:2" ht="12.75">
      <c r="A36" s="38" t="s">
        <v>53</v>
      </c>
      <c r="B36" s="56"/>
    </row>
    <row r="37" ht="13.5" thickBot="1">
      <c r="B37" s="54"/>
    </row>
    <row r="38" spans="1:3" s="89" customFormat="1" ht="13.5" thickBot="1">
      <c r="A38" s="86" t="s">
        <v>0</v>
      </c>
      <c r="B38" s="87">
        <v>0.000355</v>
      </c>
      <c r="C38" s="88" t="s">
        <v>1</v>
      </c>
    </row>
    <row r="39" spans="1:3" s="89" customFormat="1" ht="13.5" thickBot="1">
      <c r="A39" s="86" t="s">
        <v>2</v>
      </c>
      <c r="B39" s="90">
        <v>600</v>
      </c>
      <c r="C39" s="88" t="s">
        <v>1</v>
      </c>
    </row>
    <row r="40" spans="1:3" s="89" customFormat="1" ht="13.5" thickBot="1">
      <c r="A40" s="86" t="s">
        <v>3</v>
      </c>
      <c r="B40" s="87">
        <v>0.125</v>
      </c>
      <c r="C40" s="88" t="s">
        <v>1</v>
      </c>
    </row>
    <row r="41" spans="1:3" ht="12.75">
      <c r="A41" s="46"/>
      <c r="B41" s="49"/>
      <c r="C41" s="47"/>
    </row>
    <row r="42" spans="1:3" ht="12.75">
      <c r="A42" s="46"/>
      <c r="B42" s="49"/>
      <c r="C42" s="47"/>
    </row>
    <row r="43" spans="1:3" ht="12.75">
      <c r="A43" s="55" t="s">
        <v>54</v>
      </c>
      <c r="B43" s="49"/>
      <c r="C43" s="47"/>
    </row>
    <row r="44" spans="1:3" ht="12.75">
      <c r="A44" s="46"/>
      <c r="B44" s="49"/>
      <c r="C44" s="47"/>
    </row>
    <row r="45" spans="1:3" ht="12.75">
      <c r="A45" s="3" t="s">
        <v>4</v>
      </c>
      <c r="B45" s="48">
        <v>3.14159265359</v>
      </c>
      <c r="C45" s="3"/>
    </row>
    <row r="46" spans="1:3" ht="13.5" thickBot="1">
      <c r="A46" s="3" t="s">
        <v>5</v>
      </c>
      <c r="B46" s="60">
        <v>300000000</v>
      </c>
      <c r="C46" s="3" t="s">
        <v>6</v>
      </c>
    </row>
    <row r="47" spans="1:5" s="91" customFormat="1" ht="13.5" thickBot="1">
      <c r="A47" s="58" t="s">
        <v>7</v>
      </c>
      <c r="B47" s="99">
        <v>0.000405</v>
      </c>
      <c r="C47" s="59" t="s">
        <v>1</v>
      </c>
      <c r="E47" s="57" t="s">
        <v>40</v>
      </c>
    </row>
    <row r="48" spans="1:3" ht="12.75">
      <c r="A48" s="3"/>
      <c r="B48" s="48"/>
      <c r="C48" s="3"/>
    </row>
    <row r="49" spans="1:3" s="21" customFormat="1" ht="13.5" thickBot="1">
      <c r="A49" s="92" t="s">
        <v>8</v>
      </c>
      <c r="B49" s="102">
        <f>SQRT((B40*B45)^2+B38^2)+(B38)</f>
        <v>0.39305424215873086</v>
      </c>
      <c r="C49" s="92" t="s">
        <v>1</v>
      </c>
    </row>
    <row r="50" spans="1:3" s="21" customFormat="1" ht="13.5" thickBot="1">
      <c r="A50" s="100" t="s">
        <v>9</v>
      </c>
      <c r="B50" s="103">
        <v>1527</v>
      </c>
      <c r="C50" s="101" t="s">
        <v>10</v>
      </c>
    </row>
    <row r="51" spans="1:3" s="21" customFormat="1" ht="13.5" thickBot="1">
      <c r="A51" s="100" t="s">
        <v>11</v>
      </c>
      <c r="B51" s="105">
        <f>B50*B47</f>
        <v>0.618435</v>
      </c>
      <c r="C51" s="101" t="s">
        <v>1</v>
      </c>
    </row>
    <row r="52" spans="1:3" s="95" customFormat="1" ht="12.75">
      <c r="A52" s="93" t="s">
        <v>12</v>
      </c>
      <c r="B52" s="104">
        <f>(4*B45*0.0000001)*(B50^2)*((B40^2)*B45/4)/B51</f>
        <v>0.05814385000179566</v>
      </c>
      <c r="C52" s="94" t="s">
        <v>33</v>
      </c>
    </row>
    <row r="53" spans="1:3" ht="12.75">
      <c r="A53" s="3"/>
      <c r="B53" s="1"/>
      <c r="C53" s="3"/>
    </row>
    <row r="54" spans="1:3" s="98" customFormat="1" ht="12.75">
      <c r="A54" s="96" t="s">
        <v>13</v>
      </c>
      <c r="B54" s="97">
        <f>B49*B50</f>
        <v>600.193827776382</v>
      </c>
      <c r="C54" s="96" t="s">
        <v>1</v>
      </c>
    </row>
    <row r="55" spans="1:3" s="98" customFormat="1" ht="12.75">
      <c r="A55" s="96" t="s">
        <v>14</v>
      </c>
      <c r="B55" s="97">
        <f>B46/(4*B54)</f>
        <v>124959.63225390452</v>
      </c>
      <c r="C55" s="96" t="s">
        <v>15</v>
      </c>
    </row>
    <row r="56" spans="1:3" ht="12.75">
      <c r="A56" s="3"/>
      <c r="B56" s="22"/>
      <c r="C56" s="3"/>
    </row>
    <row r="57" spans="1:8" s="21" customFormat="1" ht="12.75">
      <c r="A57" s="21" t="s">
        <v>30</v>
      </c>
      <c r="B57" s="32">
        <f>(0.29*B51/0.0254)+(0.41*(B40/2)/0.0254)+(1.94*SQRT(((B40/2)/0.0254)^3/(B51/0.0254)))</f>
        <v>9.587273326894023</v>
      </c>
      <c r="C57" s="21" t="s">
        <v>32</v>
      </c>
      <c r="E57" s="125" t="s">
        <v>101</v>
      </c>
      <c r="G57" s="123">
        <v>14.7</v>
      </c>
      <c r="H57" s="21" t="s">
        <v>32</v>
      </c>
    </row>
    <row r="59" spans="1:8" s="27" customFormat="1" ht="12.75">
      <c r="A59" s="31" t="s">
        <v>35</v>
      </c>
      <c r="B59" s="30">
        <f>(((1/(2*B45*B55))^2)/B52)*10^12</f>
        <v>27.89953732440188</v>
      </c>
      <c r="C59" s="31" t="s">
        <v>32</v>
      </c>
      <c r="G59" s="124">
        <v>27.9</v>
      </c>
      <c r="H59" s="27" t="s">
        <v>32</v>
      </c>
    </row>
    <row r="61" spans="1:8" s="36" customFormat="1" ht="12.75">
      <c r="A61" s="36" t="s">
        <v>34</v>
      </c>
      <c r="B61" s="37">
        <f>B59-B57</f>
        <v>18.312263997507856</v>
      </c>
      <c r="C61" s="36" t="s">
        <v>32</v>
      </c>
      <c r="E61" s="36" t="s">
        <v>102</v>
      </c>
      <c r="G61" s="122">
        <f>G59-G57</f>
        <v>13.2</v>
      </c>
      <c r="H61" s="36" t="s">
        <v>32</v>
      </c>
    </row>
    <row r="65" s="126" customFormat="1" ht="12.75">
      <c r="A65" s="126" t="s">
        <v>103</v>
      </c>
    </row>
    <row r="66" ht="13.5" thickBot="1"/>
    <row r="67" spans="1:2" ht="13.5" thickBot="1">
      <c r="A67" t="s">
        <v>104</v>
      </c>
      <c r="B67" s="117" t="s">
        <v>105</v>
      </c>
    </row>
    <row r="69" spans="1:2" ht="12.75">
      <c r="A69" t="s">
        <v>106</v>
      </c>
      <c r="B69" t="s">
        <v>107</v>
      </c>
    </row>
    <row r="70" spans="1:2" ht="12.75">
      <c r="A70" t="s">
        <v>108</v>
      </c>
      <c r="B70" t="s">
        <v>109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2" sqref="A22"/>
    </sheetView>
  </sheetViews>
  <sheetFormatPr defaultColWidth="9.140625" defaultRowHeight="12.75"/>
  <cols>
    <col min="1" max="1" width="26.140625" style="0" customWidth="1"/>
    <col min="2" max="2" width="15.00390625" style="0" customWidth="1"/>
  </cols>
  <sheetData>
    <row r="1" ht="26.25">
      <c r="A1" s="85" t="s">
        <v>58</v>
      </c>
    </row>
    <row r="3" ht="12.75">
      <c r="A3" s="38" t="s">
        <v>59</v>
      </c>
    </row>
    <row r="4" ht="13.5" thickBot="1"/>
    <row r="5" spans="1:3" s="89" customFormat="1" ht="13.5" thickBot="1">
      <c r="A5" s="89" t="s">
        <v>60</v>
      </c>
      <c r="B5" s="117">
        <v>6000</v>
      </c>
      <c r="C5" s="89" t="s">
        <v>61</v>
      </c>
    </row>
    <row r="6" spans="1:3" s="89" customFormat="1" ht="13.5" thickBot="1">
      <c r="A6" s="89" t="s">
        <v>62</v>
      </c>
      <c r="B6" s="117">
        <v>0.1</v>
      </c>
      <c r="C6" s="89" t="s">
        <v>69</v>
      </c>
    </row>
    <row r="7" spans="1:3" s="89" customFormat="1" ht="13.5" thickBot="1">
      <c r="A7" s="89" t="s">
        <v>66</v>
      </c>
      <c r="B7" s="117">
        <v>50</v>
      </c>
      <c r="C7" s="89" t="s">
        <v>15</v>
      </c>
    </row>
    <row r="8" ht="13.5" thickBot="1"/>
    <row r="9" spans="1:5" s="36" customFormat="1" ht="13.5" thickBot="1">
      <c r="A9" s="36" t="s">
        <v>63</v>
      </c>
      <c r="B9" s="118">
        <v>124959.63225390452</v>
      </c>
      <c r="C9" s="36" t="s">
        <v>15</v>
      </c>
      <c r="E9" s="36" t="s">
        <v>100</v>
      </c>
    </row>
    <row r="11" spans="1:2" ht="12.75">
      <c r="A11" t="s">
        <v>70</v>
      </c>
      <c r="B11">
        <v>3.14159265359</v>
      </c>
    </row>
    <row r="14" ht="12.75">
      <c r="A14" s="38" t="s">
        <v>64</v>
      </c>
    </row>
    <row r="16" spans="1:3" s="91" customFormat="1" ht="12.75">
      <c r="A16" s="91" t="s">
        <v>67</v>
      </c>
      <c r="B16" s="116">
        <f>B5*B6</f>
        <v>600</v>
      </c>
      <c r="C16" s="91" t="s">
        <v>68</v>
      </c>
    </row>
    <row r="18" spans="1:3" s="91" customFormat="1" ht="12.75">
      <c r="A18" s="91" t="s">
        <v>65</v>
      </c>
      <c r="B18" s="116">
        <f>1/(2*B11*B7*(B5/B6))*10^9</f>
        <v>53.05164769729495</v>
      </c>
      <c r="C18" s="91" t="s">
        <v>71</v>
      </c>
    </row>
    <row r="20" spans="1:3" s="91" customFormat="1" ht="12.75">
      <c r="A20" s="91" t="s">
        <v>72</v>
      </c>
      <c r="B20" s="116">
        <f>(((1/(2*B11*B9))^2)/(10^-9*B18))*10^6</f>
        <v>30.577495397795833</v>
      </c>
      <c r="C20" s="91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L40" sqref="L40"/>
    </sheetView>
  </sheetViews>
  <sheetFormatPr defaultColWidth="9.140625" defaultRowHeight="12.75"/>
  <cols>
    <col min="1" max="1" width="23.7109375" style="0" customWidth="1"/>
    <col min="2" max="2" width="12.421875" style="0" bestFit="1" customWidth="1"/>
    <col min="3" max="3" width="16.140625" style="0" customWidth="1"/>
  </cols>
  <sheetData>
    <row r="1" s="27" customFormat="1" ht="26.25">
      <c r="A1" s="119" t="s">
        <v>74</v>
      </c>
    </row>
    <row r="3" ht="13.5" thickBot="1"/>
    <row r="4" spans="1:3" ht="13.5" thickBot="1">
      <c r="A4" t="s">
        <v>75</v>
      </c>
      <c r="B4" t="s">
        <v>85</v>
      </c>
      <c r="C4" s="117">
        <v>9</v>
      </c>
    </row>
    <row r="5" spans="1:6" ht="13.5" thickBot="1">
      <c r="A5" t="s">
        <v>76</v>
      </c>
      <c r="B5" t="s">
        <v>86</v>
      </c>
      <c r="C5" s="117">
        <v>0.15</v>
      </c>
      <c r="D5" t="s">
        <v>78</v>
      </c>
      <c r="E5">
        <f>C5/0.0254</f>
        <v>5.905511811023622</v>
      </c>
      <c r="F5" t="s">
        <v>79</v>
      </c>
    </row>
    <row r="6" spans="1:6" ht="13.5" thickBot="1">
      <c r="A6" t="s">
        <v>77</v>
      </c>
      <c r="B6" t="s">
        <v>87</v>
      </c>
      <c r="C6" s="117">
        <v>0.1</v>
      </c>
      <c r="D6" t="s">
        <v>78</v>
      </c>
      <c r="E6">
        <f>C6/0.0254</f>
        <v>3.9370078740157486</v>
      </c>
      <c r="F6" t="s">
        <v>79</v>
      </c>
    </row>
    <row r="8" ht="13.5" thickBot="1"/>
    <row r="9" spans="1:5" ht="13.5" thickBot="1">
      <c r="A9" t="s">
        <v>12</v>
      </c>
      <c r="C9" s="120">
        <f>((E5*C4)^2)/((8*E5)+(11*E6))</f>
        <v>31.196508045189997</v>
      </c>
      <c r="D9" t="s">
        <v>73</v>
      </c>
      <c r="E9" t="s">
        <v>80</v>
      </c>
    </row>
    <row r="12" s="27" customFormat="1" ht="26.25">
      <c r="A12" s="119" t="s">
        <v>81</v>
      </c>
    </row>
    <row r="14" ht="13.5" thickBot="1"/>
    <row r="15" spans="1:3" ht="13.5" thickBot="1">
      <c r="A15" t="s">
        <v>75</v>
      </c>
      <c r="B15" t="s">
        <v>88</v>
      </c>
      <c r="C15" s="117">
        <v>9</v>
      </c>
    </row>
    <row r="16" spans="1:6" ht="13.5" thickBot="1">
      <c r="A16" t="s">
        <v>90</v>
      </c>
      <c r="B16" t="s">
        <v>86</v>
      </c>
      <c r="C16" s="117">
        <v>0.15</v>
      </c>
      <c r="D16" t="s">
        <v>83</v>
      </c>
      <c r="E16">
        <f>C16/0.0254</f>
        <v>5.905511811023622</v>
      </c>
      <c r="F16" t="s">
        <v>79</v>
      </c>
    </row>
    <row r="17" spans="1:6" ht="13.5" thickBot="1">
      <c r="A17" t="s">
        <v>82</v>
      </c>
      <c r="B17" t="s">
        <v>89</v>
      </c>
      <c r="C17" s="117">
        <v>0.1</v>
      </c>
      <c r="D17" t="s">
        <v>83</v>
      </c>
      <c r="E17">
        <f>C17/0.0254</f>
        <v>3.9370078740157486</v>
      </c>
      <c r="F17" t="s">
        <v>79</v>
      </c>
    </row>
    <row r="18" ht="14.25" customHeight="1"/>
    <row r="19" ht="13.5" thickBot="1"/>
    <row r="20" spans="1:5" ht="13.5" thickBot="1">
      <c r="A20" t="s">
        <v>12</v>
      </c>
      <c r="C20" s="120">
        <f>(C15*E16)^2/(9*E16+10*E17)</f>
        <v>30.532752554866807</v>
      </c>
      <c r="D20" t="s">
        <v>73</v>
      </c>
      <c r="E20" t="s">
        <v>80</v>
      </c>
    </row>
    <row r="23" s="27" customFormat="1" ht="26.25">
      <c r="A23" s="119" t="s">
        <v>84</v>
      </c>
    </row>
    <row r="25" ht="13.5" thickBot="1"/>
    <row r="26" spans="1:3" ht="13.5" thickBot="1">
      <c r="A26" t="s">
        <v>75</v>
      </c>
      <c r="B26" t="s">
        <v>85</v>
      </c>
      <c r="C26" s="117">
        <v>11</v>
      </c>
    </row>
    <row r="27" spans="1:6" ht="13.5" thickBot="1">
      <c r="A27" t="s">
        <v>91</v>
      </c>
      <c r="B27" t="s">
        <v>86</v>
      </c>
      <c r="C27" s="117">
        <v>0.15</v>
      </c>
      <c r="D27" t="s">
        <v>83</v>
      </c>
      <c r="E27">
        <f>C27/0.0254</f>
        <v>5.905511811023622</v>
      </c>
      <c r="F27" t="s">
        <v>79</v>
      </c>
    </row>
    <row r="28" spans="1:6" ht="13.5" thickBot="1">
      <c r="A28" t="s">
        <v>92</v>
      </c>
      <c r="B28" t="s">
        <v>93</v>
      </c>
      <c r="C28" s="117">
        <v>0.2</v>
      </c>
      <c r="D28" t="s">
        <v>83</v>
      </c>
      <c r="E28">
        <f>C28/0.0254</f>
        <v>7.874015748031497</v>
      </c>
      <c r="F28" t="s">
        <v>79</v>
      </c>
    </row>
    <row r="29" spans="1:6" ht="13.5" thickBot="1">
      <c r="A29" t="s">
        <v>94</v>
      </c>
      <c r="B29" t="s">
        <v>89</v>
      </c>
      <c r="C29" s="117">
        <v>0.1</v>
      </c>
      <c r="D29" t="s">
        <v>83</v>
      </c>
      <c r="E29">
        <f>C29/0.0254</f>
        <v>3.9370078740157486</v>
      </c>
      <c r="F29" t="s">
        <v>79</v>
      </c>
    </row>
    <row r="31" spans="1:6" ht="12.75">
      <c r="A31" t="s">
        <v>97</v>
      </c>
      <c r="C31">
        <f>ASIN(C29/SQRT(C29^2+C28^2))</f>
        <v>0.4636476090008061</v>
      </c>
      <c r="D31" t="s">
        <v>98</v>
      </c>
      <c r="E31" s="121">
        <f>C31*360/(2*PI())</f>
        <v>26.56505117707799</v>
      </c>
      <c r="F31" t="s">
        <v>99</v>
      </c>
    </row>
    <row r="32" spans="1:3" ht="12.75">
      <c r="A32" t="s">
        <v>95</v>
      </c>
      <c r="C32">
        <f>(C26*E27)^2/(9*E27+10*E29)</f>
        <v>45.610655051097346</v>
      </c>
    </row>
    <row r="33" spans="1:3" ht="12.75">
      <c r="A33" t="s">
        <v>96</v>
      </c>
      <c r="C33">
        <f>((C26*E27)^2)/((8*E27)+(11*E28))</f>
        <v>31.525011579434924</v>
      </c>
    </row>
    <row r="34" ht="13.5" thickBot="1"/>
    <row r="35" spans="1:4" ht="13.5" thickBot="1">
      <c r="A35" t="s">
        <v>12</v>
      </c>
      <c r="C35" s="120">
        <f>SQRT((C32*SIN(C31))^2+(C33*COS(C31))^2)</f>
        <v>34.80125651330485</v>
      </c>
      <c r="D35" t="s">
        <v>73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31">
      <selection activeCell="B70" sqref="B70"/>
    </sheetView>
  </sheetViews>
  <sheetFormatPr defaultColWidth="9.140625" defaultRowHeight="12.75"/>
  <cols>
    <col min="1" max="1" width="19.00390625" style="0" customWidth="1"/>
    <col min="2" max="2" width="29.8515625" style="0" customWidth="1"/>
    <col min="11" max="11" width="6.140625" style="0" customWidth="1"/>
    <col min="12" max="12" width="2.421875" style="0" customWidth="1"/>
  </cols>
  <sheetData>
    <row r="1" spans="1:2" ht="26.25">
      <c r="A1" s="44" t="s">
        <v>37</v>
      </c>
      <c r="B1" s="1"/>
    </row>
    <row r="2" ht="6.75" customHeight="1">
      <c r="B2" s="1"/>
    </row>
    <row r="3" ht="3.75" customHeight="1">
      <c r="B3" s="22"/>
    </row>
    <row r="4" spans="1:2" ht="12.75">
      <c r="A4" s="38" t="s">
        <v>38</v>
      </c>
      <c r="B4" s="56"/>
    </row>
    <row r="5" ht="13.5" thickBot="1">
      <c r="B5" s="54"/>
    </row>
    <row r="6" spans="1:15" ht="13.5" thickBot="1">
      <c r="A6" s="50" t="s">
        <v>0</v>
      </c>
      <c r="B6" s="52">
        <v>0.000212</v>
      </c>
      <c r="C6" s="51" t="s">
        <v>1</v>
      </c>
      <c r="D6" s="2"/>
      <c r="E6" s="2"/>
      <c r="F6" s="2"/>
      <c r="G6" s="2"/>
      <c r="H6" s="2"/>
      <c r="I6" s="2"/>
      <c r="J6" s="2"/>
      <c r="K6" s="2"/>
      <c r="L6" s="45"/>
      <c r="M6" s="45"/>
      <c r="N6" s="45"/>
      <c r="O6" s="45"/>
    </row>
    <row r="7" spans="1:15" ht="13.5" thickBot="1">
      <c r="A7" s="50" t="s">
        <v>2</v>
      </c>
      <c r="B7" s="53">
        <v>650</v>
      </c>
      <c r="C7" s="51" t="s">
        <v>1</v>
      </c>
      <c r="D7" s="2"/>
      <c r="E7" s="2"/>
      <c r="F7" s="2"/>
      <c r="G7" s="2"/>
      <c r="H7" s="2"/>
      <c r="I7" s="2"/>
      <c r="J7" s="2"/>
      <c r="K7" s="2"/>
      <c r="L7" s="45"/>
      <c r="M7" s="45"/>
      <c r="N7" s="45"/>
      <c r="O7" s="45"/>
    </row>
    <row r="8" spans="1:15" ht="13.5" thickBot="1">
      <c r="A8" s="50" t="s">
        <v>3</v>
      </c>
      <c r="B8" s="52">
        <v>0.075</v>
      </c>
      <c r="C8" s="51" t="s">
        <v>1</v>
      </c>
      <c r="D8" s="2"/>
      <c r="E8" s="2"/>
      <c r="F8" s="2"/>
      <c r="G8" s="2"/>
      <c r="H8" s="2"/>
      <c r="I8" s="2"/>
      <c r="J8" s="2"/>
      <c r="K8" s="2"/>
      <c r="L8" s="45"/>
      <c r="M8" s="45"/>
      <c r="N8" s="45"/>
      <c r="O8" s="45"/>
    </row>
    <row r="9" spans="1:15" ht="13.5" thickBot="1">
      <c r="A9" s="46"/>
      <c r="B9" s="49"/>
      <c r="C9" s="63"/>
      <c r="D9" s="64"/>
      <c r="E9" s="64"/>
      <c r="F9" s="64"/>
      <c r="G9" s="64"/>
      <c r="H9" s="64"/>
      <c r="I9" s="64"/>
      <c r="J9" s="64"/>
      <c r="K9" s="64"/>
      <c r="L9" s="45"/>
      <c r="M9" s="45"/>
      <c r="N9" s="45"/>
      <c r="O9" s="45"/>
    </row>
    <row r="10" spans="1:15" ht="20.25">
      <c r="A10" s="46"/>
      <c r="B10" s="76" t="s">
        <v>52</v>
      </c>
      <c r="C10" s="77"/>
      <c r="D10" s="77"/>
      <c r="E10" s="77"/>
      <c r="F10" s="77"/>
      <c r="G10" s="78"/>
      <c r="H10" s="78"/>
      <c r="I10" s="78"/>
      <c r="J10" s="78"/>
      <c r="K10" s="79"/>
      <c r="L10" s="47"/>
      <c r="M10" s="45"/>
      <c r="N10" s="45"/>
      <c r="O10" s="45"/>
    </row>
    <row r="11" spans="1:15" ht="21" thickBot="1">
      <c r="A11" s="46"/>
      <c r="B11" s="80" t="s">
        <v>51</v>
      </c>
      <c r="C11" s="81"/>
      <c r="D11" s="82"/>
      <c r="E11" s="82"/>
      <c r="F11" s="82"/>
      <c r="G11" s="83"/>
      <c r="H11" s="83"/>
      <c r="I11" s="83"/>
      <c r="J11" s="83"/>
      <c r="K11" s="84"/>
      <c r="L11" s="47"/>
      <c r="M11" s="45"/>
      <c r="N11" s="45"/>
      <c r="O11" s="45"/>
    </row>
    <row r="12" spans="1:15" ht="12.75">
      <c r="A12" s="46"/>
      <c r="B12" s="71"/>
      <c r="C12" s="72"/>
      <c r="D12" s="73"/>
      <c r="E12" s="73"/>
      <c r="F12" s="73"/>
      <c r="G12" s="73"/>
      <c r="H12" s="73"/>
      <c r="I12" s="73"/>
      <c r="J12" s="73"/>
      <c r="K12" s="74"/>
      <c r="L12" s="47"/>
      <c r="M12" s="45"/>
      <c r="N12" s="45"/>
      <c r="O12" s="45"/>
    </row>
    <row r="13" spans="1:15" ht="12.75">
      <c r="A13" s="46"/>
      <c r="B13" s="49"/>
      <c r="C13" s="65"/>
      <c r="D13" s="66"/>
      <c r="E13" s="66"/>
      <c r="F13" s="66"/>
      <c r="G13" s="66"/>
      <c r="H13" s="66"/>
      <c r="I13" s="66"/>
      <c r="J13" s="66"/>
      <c r="K13" s="66"/>
      <c r="L13" s="45"/>
      <c r="M13" s="45"/>
      <c r="N13" s="45"/>
      <c r="O13" s="45"/>
    </row>
    <row r="14" spans="1:15" ht="12.75">
      <c r="A14" s="55" t="s">
        <v>47</v>
      </c>
      <c r="B14" s="49"/>
      <c r="C14" s="4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2.75">
      <c r="A15" s="46"/>
      <c r="B15" s="49"/>
      <c r="C15" s="4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12.75">
      <c r="A16" s="3" t="s">
        <v>4</v>
      </c>
      <c r="B16" s="48">
        <v>3.14159265359</v>
      </c>
      <c r="C16" s="3"/>
      <c r="D16" s="3"/>
      <c r="E16" s="3"/>
      <c r="F16" s="3"/>
      <c r="G16" s="3"/>
      <c r="H16" s="3"/>
      <c r="I16" s="3"/>
      <c r="J16" s="3"/>
      <c r="K16" s="3"/>
      <c r="L16" s="45"/>
      <c r="M16" s="45"/>
      <c r="N16" s="45"/>
      <c r="O16" s="45"/>
    </row>
    <row r="17" spans="1:15" ht="12.75">
      <c r="A17" s="3" t="s">
        <v>5</v>
      </c>
      <c r="B17" s="60">
        <v>300000000</v>
      </c>
      <c r="C17" s="3" t="s">
        <v>6</v>
      </c>
      <c r="D17" s="3"/>
      <c r="E17" s="3"/>
      <c r="F17" s="3"/>
      <c r="G17" s="3"/>
      <c r="H17" s="3"/>
      <c r="I17" s="3"/>
      <c r="J17" s="3"/>
      <c r="K17" s="3"/>
      <c r="L17" s="45"/>
      <c r="M17" s="45"/>
      <c r="N17" s="45"/>
      <c r="O17" s="45"/>
    </row>
    <row r="18" spans="1:15" ht="12.75">
      <c r="A18" s="58" t="s">
        <v>7</v>
      </c>
      <c r="B18" s="61">
        <v>0.000212</v>
      </c>
      <c r="C18" s="59" t="s">
        <v>1</v>
      </c>
      <c r="D18" s="57"/>
      <c r="E18" s="57" t="s">
        <v>40</v>
      </c>
      <c r="F18" s="57"/>
      <c r="G18" s="57"/>
      <c r="H18" s="57"/>
      <c r="I18" s="57"/>
      <c r="J18" s="57"/>
      <c r="K18" s="57"/>
      <c r="L18" s="106"/>
      <c r="M18" s="106"/>
      <c r="N18" s="106"/>
      <c r="O18" s="106"/>
    </row>
    <row r="19" spans="1:15" ht="12.75">
      <c r="A19" s="3"/>
      <c r="B19" s="54"/>
      <c r="C19" s="3"/>
      <c r="D19" s="3"/>
      <c r="E19" s="3"/>
      <c r="F19" s="3"/>
      <c r="G19" s="3"/>
      <c r="H19" s="3"/>
      <c r="I19" s="3"/>
      <c r="J19" s="3"/>
      <c r="K19" s="3"/>
      <c r="L19" s="45"/>
      <c r="M19" s="45"/>
      <c r="N19" s="45"/>
      <c r="O19" s="45"/>
    </row>
    <row r="20" spans="1:15" ht="12.75">
      <c r="A20" s="68" t="s">
        <v>46</v>
      </c>
      <c r="B20" s="75">
        <f>B7/2</f>
        <v>325</v>
      </c>
      <c r="C20" s="69" t="s">
        <v>1</v>
      </c>
      <c r="D20" s="67"/>
      <c r="E20" s="67"/>
      <c r="F20" s="67"/>
      <c r="G20" s="67"/>
      <c r="H20" s="67"/>
      <c r="I20" s="67"/>
      <c r="J20" s="67"/>
      <c r="K20" s="67"/>
      <c r="L20" s="107"/>
      <c r="M20" s="107"/>
      <c r="N20" s="107"/>
      <c r="O20" s="107"/>
    </row>
    <row r="21" spans="1:15" ht="12.75">
      <c r="A21" s="4" t="s">
        <v>8</v>
      </c>
      <c r="B21" s="70">
        <f>SQRT((B8*B16)^2+B6^2)</f>
        <v>0.23561954439336086</v>
      </c>
      <c r="C21" s="4" t="s">
        <v>1</v>
      </c>
      <c r="D21" s="4"/>
      <c r="E21" s="4"/>
      <c r="F21" s="4"/>
      <c r="G21" s="4"/>
      <c r="H21" s="4"/>
      <c r="I21" s="4"/>
      <c r="J21" s="4"/>
      <c r="K21" s="4"/>
      <c r="L21" s="45"/>
      <c r="M21" s="45"/>
      <c r="N21" s="45"/>
      <c r="O21" s="45"/>
    </row>
    <row r="22" spans="1:15" ht="12.75">
      <c r="A22" s="4" t="s">
        <v>9</v>
      </c>
      <c r="B22" s="33">
        <f>B20/B21</f>
        <v>1379.3422817990886</v>
      </c>
      <c r="C22" s="4" t="s">
        <v>10</v>
      </c>
      <c r="D22" s="4"/>
      <c r="E22" s="4"/>
      <c r="F22" s="4"/>
      <c r="G22" s="4"/>
      <c r="H22" s="4"/>
      <c r="I22" s="4"/>
      <c r="J22" s="4"/>
      <c r="K22" s="4"/>
      <c r="L22" s="45"/>
      <c r="M22" s="45"/>
      <c r="N22" s="45"/>
      <c r="O22" s="45"/>
    </row>
    <row r="23" spans="1:15" ht="12.75">
      <c r="A23" s="4" t="s">
        <v>11</v>
      </c>
      <c r="B23" s="42">
        <f>B22*B18</f>
        <v>0.2924205637414068</v>
      </c>
      <c r="C23" s="4" t="s">
        <v>1</v>
      </c>
      <c r="D23" s="4"/>
      <c r="E23" s="4"/>
      <c r="F23" s="4"/>
      <c r="G23" s="4"/>
      <c r="H23" s="4"/>
      <c r="I23" s="4"/>
      <c r="J23" s="4"/>
      <c r="K23" s="4"/>
      <c r="L23" s="45"/>
      <c r="M23" s="45"/>
      <c r="N23" s="45"/>
      <c r="O23" s="45"/>
    </row>
    <row r="24" spans="1:15" ht="12.75">
      <c r="A24" s="5" t="s">
        <v>12</v>
      </c>
      <c r="B24" s="43">
        <f>(4*B16*0.0000001)*(B22^2)*((B8^2)*B16/4)/B23</f>
        <v>0.036120891478623934</v>
      </c>
      <c r="C24" s="23" t="s">
        <v>33</v>
      </c>
      <c r="D24" s="5"/>
      <c r="E24" s="5"/>
      <c r="F24" s="5"/>
      <c r="G24" s="5"/>
      <c r="H24" s="5"/>
      <c r="I24" s="5"/>
      <c r="J24" s="5"/>
      <c r="K24" s="5"/>
      <c r="L24" s="45"/>
      <c r="M24" s="45"/>
      <c r="N24" s="45"/>
      <c r="O24" s="45"/>
    </row>
    <row r="25" spans="1:15" ht="12.7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45"/>
      <c r="M25" s="45"/>
      <c r="N25" s="45"/>
      <c r="O25" s="45"/>
    </row>
    <row r="26" spans="1:15" ht="12.75">
      <c r="A26" s="62" t="s">
        <v>13</v>
      </c>
      <c r="B26" s="29">
        <f>B20</f>
        <v>325</v>
      </c>
      <c r="C26" s="6" t="s">
        <v>1</v>
      </c>
      <c r="D26" s="6"/>
      <c r="E26" s="6"/>
      <c r="F26" s="6"/>
      <c r="G26" s="6"/>
      <c r="H26" s="6"/>
      <c r="I26" s="6"/>
      <c r="J26" s="6"/>
      <c r="K26" s="6"/>
      <c r="L26" s="45"/>
      <c r="M26" s="45"/>
      <c r="N26" s="45"/>
      <c r="O26" s="45"/>
    </row>
    <row r="27" spans="1:15" ht="12.75">
      <c r="A27" s="6" t="s">
        <v>14</v>
      </c>
      <c r="B27" s="29">
        <f>B17/(4*B26)</f>
        <v>230769.23076923078</v>
      </c>
      <c r="C27" s="6" t="s">
        <v>15</v>
      </c>
      <c r="D27" s="6"/>
      <c r="E27" s="6"/>
      <c r="F27" s="6"/>
      <c r="G27" s="6"/>
      <c r="H27" s="6"/>
      <c r="I27" s="6"/>
      <c r="J27" s="6"/>
      <c r="K27" s="6"/>
      <c r="L27" s="45"/>
      <c r="M27" s="45"/>
      <c r="N27" s="45"/>
      <c r="O27" s="45"/>
    </row>
    <row r="28" spans="1:15" ht="12.75">
      <c r="A28" s="3"/>
      <c r="B28" s="22"/>
      <c r="C28" s="3"/>
      <c r="D28" s="3"/>
      <c r="E28" s="3"/>
      <c r="F28" s="3"/>
      <c r="G28" s="3"/>
      <c r="H28" s="3"/>
      <c r="I28" s="3"/>
      <c r="J28" s="3"/>
      <c r="K28" s="3"/>
      <c r="L28" s="45"/>
      <c r="M28" s="45"/>
      <c r="N28" s="45"/>
      <c r="O28" s="45"/>
    </row>
    <row r="29" spans="1:15" ht="12.75">
      <c r="A29" s="21" t="s">
        <v>30</v>
      </c>
      <c r="B29" s="32">
        <f>(0.29*B23/0.0254)+(0.41*(B8/2)/0.0254)+(1.94*SQRT(((B8/2)/0.0254)^3/(B23/0.0254)))</f>
        <v>4.969652750361055</v>
      </c>
      <c r="C29" s="21" t="s">
        <v>32</v>
      </c>
      <c r="D29" s="21"/>
      <c r="E29" s="21"/>
      <c r="F29" s="21"/>
      <c r="G29" s="21"/>
      <c r="H29" s="21"/>
      <c r="I29" s="21"/>
      <c r="J29" s="21"/>
      <c r="K29" s="21"/>
      <c r="L29" s="108"/>
      <c r="M29" s="108"/>
      <c r="N29" s="108"/>
      <c r="O29" s="108"/>
    </row>
    <row r="30" spans="12:15" ht="12.75">
      <c r="L30" s="108"/>
      <c r="M30" s="108"/>
      <c r="N30" s="108"/>
      <c r="O30" s="108"/>
    </row>
    <row r="31" spans="1:15" ht="12.75">
      <c r="A31" s="31" t="s">
        <v>35</v>
      </c>
      <c r="B31" s="30">
        <f>(((1/(2*B16*B27))^2)/B24)*10^12</f>
        <v>13.168187389165887</v>
      </c>
      <c r="C31" s="31" t="s">
        <v>32</v>
      </c>
      <c r="D31" s="7"/>
      <c r="E31" s="7"/>
      <c r="F31" s="7"/>
      <c r="G31" s="7"/>
      <c r="H31" s="7"/>
      <c r="I31" s="7"/>
      <c r="J31" s="7"/>
      <c r="K31" s="7"/>
      <c r="L31" s="45"/>
      <c r="M31" s="45"/>
      <c r="N31" s="45"/>
      <c r="O31" s="45"/>
    </row>
    <row r="32" spans="12:15" ht="12.75">
      <c r="L32" s="108"/>
      <c r="M32" s="108"/>
      <c r="N32" s="108"/>
      <c r="O32" s="108"/>
    </row>
    <row r="33" spans="1:15" ht="12.75">
      <c r="A33" s="36" t="s">
        <v>34</v>
      </c>
      <c r="B33" s="37">
        <f>B31-B29</f>
        <v>8.198534638804832</v>
      </c>
      <c r="C33" s="36" t="s">
        <v>32</v>
      </c>
      <c r="D33" s="36" t="s">
        <v>48</v>
      </c>
      <c r="E33" s="36"/>
      <c r="F33" s="36"/>
      <c r="G33" s="36"/>
      <c r="H33" s="36"/>
      <c r="I33" s="36"/>
      <c r="J33" s="36"/>
      <c r="K33" s="36"/>
      <c r="L33" s="108"/>
      <c r="M33" s="108"/>
      <c r="N33" s="108"/>
      <c r="O33" s="108"/>
    </row>
    <row r="34" spans="12:15" ht="12.75">
      <c r="L34" s="108"/>
      <c r="M34" s="108"/>
      <c r="N34" s="108"/>
      <c r="O34" s="108"/>
    </row>
    <row r="35" spans="1:15" ht="12.75">
      <c r="A35" s="36" t="s">
        <v>49</v>
      </c>
      <c r="B35" s="37">
        <f>B33/2</f>
        <v>4.099267319402416</v>
      </c>
      <c r="C35" s="36" t="s">
        <v>32</v>
      </c>
      <c r="D35" s="36" t="s">
        <v>50</v>
      </c>
      <c r="E35" s="36"/>
      <c r="F35" s="36"/>
      <c r="G35" s="36"/>
      <c r="H35" s="36"/>
      <c r="I35" s="36"/>
      <c r="J35" s="36"/>
      <c r="K35" s="36"/>
      <c r="L35" s="108"/>
      <c r="M35" s="108"/>
      <c r="N35" s="108"/>
      <c r="O35" s="108"/>
    </row>
    <row r="36" spans="1:15" ht="26.25">
      <c r="A36" s="44" t="s">
        <v>56</v>
      </c>
      <c r="B36" s="1"/>
      <c r="L36" s="108"/>
      <c r="M36" s="108"/>
      <c r="N36" s="108"/>
      <c r="O36" s="108"/>
    </row>
    <row r="37" spans="2:15" ht="6.75" customHeight="1">
      <c r="B37" s="1"/>
      <c r="L37" s="108"/>
      <c r="M37" s="108"/>
      <c r="N37" s="108"/>
      <c r="O37" s="108"/>
    </row>
    <row r="38" spans="2:15" ht="3.75" customHeight="1">
      <c r="B38" s="22"/>
      <c r="L38" s="108"/>
      <c r="M38" s="108"/>
      <c r="N38" s="108"/>
      <c r="O38" s="108"/>
    </row>
    <row r="39" spans="1:15" ht="12.75">
      <c r="A39" s="38" t="s">
        <v>38</v>
      </c>
      <c r="B39" s="56"/>
      <c r="L39" s="108"/>
      <c r="M39" s="108"/>
      <c r="N39" s="108"/>
      <c r="O39" s="108"/>
    </row>
    <row r="40" spans="2:15" ht="13.5" thickBot="1">
      <c r="B40" s="54"/>
      <c r="L40" s="108"/>
      <c r="M40" s="108"/>
      <c r="N40" s="108"/>
      <c r="O40" s="108"/>
    </row>
    <row r="41" spans="1:15" ht="13.5" thickBot="1">
      <c r="A41" s="50" t="s">
        <v>0</v>
      </c>
      <c r="B41" s="52">
        <v>0.000212</v>
      </c>
      <c r="C41" s="51" t="s">
        <v>1</v>
      </c>
      <c r="D41" s="2"/>
      <c r="E41" s="2"/>
      <c r="F41" s="2"/>
      <c r="G41" s="2"/>
      <c r="H41" s="2"/>
      <c r="I41" s="2"/>
      <c r="J41" s="2"/>
      <c r="K41" s="2"/>
      <c r="L41" s="45"/>
      <c r="M41" s="45"/>
      <c r="N41" s="45"/>
      <c r="O41" s="45"/>
    </row>
    <row r="42" spans="1:15" ht="13.5" thickBot="1">
      <c r="A42" s="50" t="s">
        <v>2</v>
      </c>
      <c r="B42" s="53">
        <v>650</v>
      </c>
      <c r="C42" s="51" t="s">
        <v>1</v>
      </c>
      <c r="D42" s="2"/>
      <c r="E42" s="2"/>
      <c r="F42" s="2"/>
      <c r="G42" s="2"/>
      <c r="H42" s="2"/>
      <c r="I42" s="2"/>
      <c r="J42" s="2"/>
      <c r="K42" s="2"/>
      <c r="L42" s="45"/>
      <c r="M42" s="45"/>
      <c r="N42" s="45"/>
      <c r="O42" s="45"/>
    </row>
    <row r="43" spans="1:15" ht="13.5" thickBot="1">
      <c r="A43" s="50" t="s">
        <v>3</v>
      </c>
      <c r="B43" s="52">
        <v>0.075</v>
      </c>
      <c r="C43" s="51" t="s">
        <v>1</v>
      </c>
      <c r="D43" s="2"/>
      <c r="E43" s="2"/>
      <c r="F43" s="2"/>
      <c r="G43" s="2"/>
      <c r="H43" s="2"/>
      <c r="I43" s="2"/>
      <c r="J43" s="2"/>
      <c r="K43" s="2"/>
      <c r="L43" s="45"/>
      <c r="M43" s="45"/>
      <c r="N43" s="45"/>
      <c r="O43" s="45"/>
    </row>
    <row r="44" spans="1:15" ht="13.5" thickBot="1">
      <c r="A44" s="46"/>
      <c r="B44" s="49"/>
      <c r="C44" s="63"/>
      <c r="D44" s="64"/>
      <c r="E44" s="64"/>
      <c r="F44" s="64"/>
      <c r="G44" s="64"/>
      <c r="H44" s="64"/>
      <c r="I44" s="64"/>
      <c r="J44" s="64"/>
      <c r="K44" s="64"/>
      <c r="L44" s="45"/>
      <c r="M44" s="45"/>
      <c r="N44" s="45"/>
      <c r="O44" s="45"/>
    </row>
    <row r="45" spans="1:15" ht="20.25">
      <c r="A45" s="46"/>
      <c r="B45" s="76" t="s">
        <v>52</v>
      </c>
      <c r="C45" s="77"/>
      <c r="D45" s="77"/>
      <c r="E45" s="77"/>
      <c r="F45" s="77"/>
      <c r="G45" s="78"/>
      <c r="H45" s="78"/>
      <c r="I45" s="78"/>
      <c r="J45" s="78"/>
      <c r="K45" s="79"/>
      <c r="L45" s="47"/>
      <c r="M45" s="45"/>
      <c r="N45" s="45"/>
      <c r="O45" s="45"/>
    </row>
    <row r="46" spans="1:15" ht="21" thickBot="1">
      <c r="A46" s="46"/>
      <c r="B46" s="80" t="s">
        <v>51</v>
      </c>
      <c r="C46" s="81"/>
      <c r="D46" s="82"/>
      <c r="E46" s="82"/>
      <c r="F46" s="82"/>
      <c r="G46" s="83"/>
      <c r="H46" s="83"/>
      <c r="I46" s="83"/>
      <c r="J46" s="83"/>
      <c r="K46" s="84"/>
      <c r="L46" s="47"/>
      <c r="M46" s="45"/>
      <c r="N46" s="45"/>
      <c r="O46" s="45"/>
    </row>
    <row r="47" spans="1:15" ht="9.75" customHeight="1">
      <c r="A47" s="46"/>
      <c r="B47" s="71"/>
      <c r="C47" s="72"/>
      <c r="D47" s="73"/>
      <c r="E47" s="73"/>
      <c r="F47" s="73"/>
      <c r="G47" s="73"/>
      <c r="H47" s="73"/>
      <c r="I47" s="73"/>
      <c r="J47" s="73"/>
      <c r="K47" s="74"/>
      <c r="L47" s="47"/>
      <c r="M47" s="45"/>
      <c r="N47" s="45"/>
      <c r="O47" s="45"/>
    </row>
    <row r="48" spans="1:15" ht="6.75" customHeight="1">
      <c r="A48" s="46"/>
      <c r="B48" s="49"/>
      <c r="C48" s="65"/>
      <c r="D48" s="66"/>
      <c r="E48" s="66"/>
      <c r="F48" s="66"/>
      <c r="G48" s="66"/>
      <c r="H48" s="66"/>
      <c r="I48" s="66"/>
      <c r="J48" s="66"/>
      <c r="K48" s="66"/>
      <c r="L48" s="45"/>
      <c r="M48" s="45"/>
      <c r="N48" s="45"/>
      <c r="O48" s="45"/>
    </row>
    <row r="49" spans="1:15" ht="12.75">
      <c r="A49" s="55" t="s">
        <v>57</v>
      </c>
      <c r="B49" s="49"/>
      <c r="C49" s="47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9" customHeight="1">
      <c r="A50" s="46"/>
      <c r="B50" s="49"/>
      <c r="C50" s="47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2.75">
      <c r="A51" s="3" t="s">
        <v>4</v>
      </c>
      <c r="B51" s="48">
        <v>3.14159265359</v>
      </c>
      <c r="C51" s="3"/>
      <c r="D51" s="3"/>
      <c r="E51" s="3"/>
      <c r="F51" s="3"/>
      <c r="G51" s="3"/>
      <c r="H51" s="3"/>
      <c r="I51" s="3"/>
      <c r="J51" s="3"/>
      <c r="K51" s="3"/>
      <c r="L51" s="45"/>
      <c r="M51" s="45"/>
      <c r="N51" s="45"/>
      <c r="O51" s="45"/>
    </row>
    <row r="52" spans="1:15" ht="12.75">
      <c r="A52" s="3" t="s">
        <v>5</v>
      </c>
      <c r="B52" s="60">
        <v>300000000</v>
      </c>
      <c r="C52" s="3" t="s">
        <v>6</v>
      </c>
      <c r="D52" s="3"/>
      <c r="E52" s="3"/>
      <c r="F52" s="3"/>
      <c r="G52" s="3"/>
      <c r="H52" s="3"/>
      <c r="I52" s="3"/>
      <c r="J52" s="3"/>
      <c r="K52" s="3"/>
      <c r="L52" s="45"/>
      <c r="M52" s="45"/>
      <c r="N52" s="45"/>
      <c r="O52" s="45"/>
    </row>
    <row r="53" spans="1:15" ht="12.75">
      <c r="A53" s="58" t="s">
        <v>7</v>
      </c>
      <c r="B53" s="61">
        <v>0.00027</v>
      </c>
      <c r="C53" s="59" t="s">
        <v>1</v>
      </c>
      <c r="D53" s="57"/>
      <c r="E53" s="57" t="s">
        <v>40</v>
      </c>
      <c r="F53" s="57"/>
      <c r="G53" s="57"/>
      <c r="H53" s="57"/>
      <c r="I53" s="57"/>
      <c r="J53" s="57"/>
      <c r="K53" s="57"/>
      <c r="L53" s="106"/>
      <c r="M53" s="106"/>
      <c r="N53" s="106"/>
      <c r="O53" s="106"/>
    </row>
    <row r="54" spans="1:15" ht="13.5" thickBot="1">
      <c r="A54" s="3"/>
      <c r="B54" s="54"/>
      <c r="C54" s="3"/>
      <c r="D54" s="3"/>
      <c r="E54" s="3"/>
      <c r="F54" s="3"/>
      <c r="G54" s="3"/>
      <c r="H54" s="3"/>
      <c r="I54" s="3"/>
      <c r="J54" s="3"/>
      <c r="K54" s="3"/>
      <c r="L54" s="45"/>
      <c r="M54" s="45"/>
      <c r="N54" s="45"/>
      <c r="O54" s="45"/>
    </row>
    <row r="55" spans="1:15" ht="13.5" thickBot="1">
      <c r="A55" s="68" t="s">
        <v>46</v>
      </c>
      <c r="B55" s="115">
        <f>B42/2</f>
        <v>325</v>
      </c>
      <c r="C55" s="69" t="s">
        <v>1</v>
      </c>
      <c r="D55" s="67"/>
      <c r="E55" s="67"/>
      <c r="F55" s="67"/>
      <c r="G55" s="67"/>
      <c r="H55" s="67"/>
      <c r="I55" s="67"/>
      <c r="J55" s="67"/>
      <c r="K55" s="67"/>
      <c r="L55" s="107"/>
      <c r="M55" s="107"/>
      <c r="N55" s="107"/>
      <c r="O55" s="107"/>
    </row>
    <row r="56" spans="1:15" ht="13.5" thickBot="1">
      <c r="A56" s="4" t="s">
        <v>8</v>
      </c>
      <c r="B56" s="113">
        <f>SQRT((B43*B51)^2+B41^2)</f>
        <v>0.23561954439336086</v>
      </c>
      <c r="C56" s="4" t="s">
        <v>1</v>
      </c>
      <c r="D56" s="4"/>
      <c r="E56" s="4"/>
      <c r="F56" s="4"/>
      <c r="G56" s="4"/>
      <c r="H56" s="4"/>
      <c r="I56" s="4"/>
      <c r="J56" s="4"/>
      <c r="K56" s="4"/>
      <c r="L56" s="45"/>
      <c r="M56" s="45"/>
      <c r="N56" s="45"/>
      <c r="O56" s="45"/>
    </row>
    <row r="57" spans="1:15" ht="13.5" thickBot="1">
      <c r="A57" s="109" t="s">
        <v>9</v>
      </c>
      <c r="B57" s="114">
        <v>1380</v>
      </c>
      <c r="C57" s="110" t="s">
        <v>10</v>
      </c>
      <c r="D57" s="4"/>
      <c r="E57" s="4"/>
      <c r="F57" s="4"/>
      <c r="G57" s="4"/>
      <c r="H57" s="4"/>
      <c r="I57" s="4"/>
      <c r="J57" s="4"/>
      <c r="K57" s="4"/>
      <c r="L57" s="45"/>
      <c r="M57" s="45"/>
      <c r="N57" s="45"/>
      <c r="O57" s="45"/>
    </row>
    <row r="58" spans="1:15" ht="13.5" thickBot="1">
      <c r="A58" s="109" t="s">
        <v>11</v>
      </c>
      <c r="B58" s="112">
        <f>B57*B53</f>
        <v>0.3726</v>
      </c>
      <c r="C58" s="110" t="s">
        <v>1</v>
      </c>
      <c r="D58" s="4"/>
      <c r="E58" s="4"/>
      <c r="F58" s="4"/>
      <c r="G58" s="4"/>
      <c r="H58" s="4"/>
      <c r="I58" s="4"/>
      <c r="J58" s="4"/>
      <c r="K58" s="4"/>
      <c r="L58" s="45"/>
      <c r="M58" s="45"/>
      <c r="N58" s="45"/>
      <c r="O58" s="45"/>
    </row>
    <row r="59" spans="1:15" ht="12.75">
      <c r="A59" s="5" t="s">
        <v>12</v>
      </c>
      <c r="B59" s="111">
        <f>(4*B51*0.0000001)*(B57^2)*((B43^2)*B51/4)/B58</f>
        <v>0.02837511265313564</v>
      </c>
      <c r="C59" s="23" t="s">
        <v>33</v>
      </c>
      <c r="D59" s="5"/>
      <c r="E59" s="5"/>
      <c r="F59" s="5"/>
      <c r="G59" s="5"/>
      <c r="H59" s="5"/>
      <c r="I59" s="5"/>
      <c r="J59" s="5"/>
      <c r="K59" s="5"/>
      <c r="L59" s="45"/>
      <c r="M59" s="45"/>
      <c r="N59" s="45"/>
      <c r="O59" s="45"/>
    </row>
    <row r="60" spans="1:15" ht="12.75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45"/>
      <c r="M60" s="45"/>
      <c r="N60" s="45"/>
      <c r="O60" s="45"/>
    </row>
    <row r="61" spans="1:15" ht="12.75">
      <c r="A61" s="62" t="s">
        <v>13</v>
      </c>
      <c r="B61" s="29">
        <f>B55</f>
        <v>325</v>
      </c>
      <c r="C61" s="6" t="s">
        <v>1</v>
      </c>
      <c r="D61" s="6"/>
      <c r="E61" s="6"/>
      <c r="F61" s="6"/>
      <c r="G61" s="6"/>
      <c r="H61" s="6"/>
      <c r="I61" s="6"/>
      <c r="J61" s="6"/>
      <c r="K61" s="6"/>
      <c r="L61" s="45"/>
      <c r="M61" s="45"/>
      <c r="N61" s="45"/>
      <c r="O61" s="45"/>
    </row>
    <row r="62" spans="1:15" ht="12.75">
      <c r="A62" s="6" t="s">
        <v>14</v>
      </c>
      <c r="B62" s="29">
        <f>B52/(4*B61)</f>
        <v>230769.23076923078</v>
      </c>
      <c r="C62" s="6" t="s">
        <v>15</v>
      </c>
      <c r="D62" s="6"/>
      <c r="E62" s="6"/>
      <c r="F62" s="6"/>
      <c r="G62" s="6"/>
      <c r="H62" s="6"/>
      <c r="I62" s="6"/>
      <c r="J62" s="6"/>
      <c r="K62" s="6"/>
      <c r="L62" s="45"/>
      <c r="M62" s="45"/>
      <c r="N62" s="45"/>
      <c r="O62" s="45"/>
    </row>
    <row r="63" spans="1:15" ht="12.75">
      <c r="A63" s="3"/>
      <c r="B63" s="22"/>
      <c r="C63" s="3"/>
      <c r="D63" s="3"/>
      <c r="E63" s="3"/>
      <c r="F63" s="3"/>
      <c r="G63" s="3"/>
      <c r="H63" s="3"/>
      <c r="I63" s="3"/>
      <c r="J63" s="3"/>
      <c r="K63" s="3"/>
      <c r="L63" s="45"/>
      <c r="M63" s="45"/>
      <c r="N63" s="45"/>
      <c r="O63" s="45"/>
    </row>
    <row r="64" spans="1:15" ht="12.75">
      <c r="A64" s="21" t="s">
        <v>30</v>
      </c>
      <c r="B64" s="32">
        <f>(0.29*B58/0.0254)+(0.41*(B43/2)/0.0254)+(1.94*SQRT(((B43/2)/0.0254)^3/(B58/0.0254)))</f>
        <v>5.768052876474009</v>
      </c>
      <c r="C64" s="21" t="s">
        <v>32</v>
      </c>
      <c r="D64" s="21"/>
      <c r="E64" s="21"/>
      <c r="F64" s="21"/>
      <c r="G64" s="21"/>
      <c r="H64" s="21"/>
      <c r="I64" s="21"/>
      <c r="J64" s="21"/>
      <c r="K64" s="21"/>
      <c r="L64" s="108"/>
      <c r="M64" s="108"/>
      <c r="N64" s="108"/>
      <c r="O64" s="108"/>
    </row>
    <row r="65" spans="12:15" ht="12.75">
      <c r="L65" s="108"/>
      <c r="M65" s="108"/>
      <c r="N65" s="108"/>
      <c r="O65" s="108"/>
    </row>
    <row r="66" spans="1:15" ht="12.75">
      <c r="A66" s="31" t="s">
        <v>35</v>
      </c>
      <c r="B66" s="30">
        <f>(((1/(2*B51*B62))^2)/B59)*10^12</f>
        <v>16.762811604262758</v>
      </c>
      <c r="C66" s="31" t="s">
        <v>32</v>
      </c>
      <c r="D66" s="7"/>
      <c r="E66" s="7"/>
      <c r="F66" s="7"/>
      <c r="G66" s="7"/>
      <c r="H66" s="7"/>
      <c r="I66" s="7"/>
      <c r="J66" s="7"/>
      <c r="K66" s="7"/>
      <c r="L66" s="45"/>
      <c r="M66" s="45"/>
      <c r="N66" s="45"/>
      <c r="O66" s="45"/>
    </row>
    <row r="67" spans="12:15" ht="12.75">
      <c r="L67" s="108"/>
      <c r="M67" s="108"/>
      <c r="N67" s="108"/>
      <c r="O67" s="108"/>
    </row>
    <row r="68" spans="1:15" ht="12.75">
      <c r="A68" s="36" t="s">
        <v>34</v>
      </c>
      <c r="B68" s="37">
        <f>B66-B64</f>
        <v>10.99475872778875</v>
      </c>
      <c r="C68" s="36" t="s">
        <v>32</v>
      </c>
      <c r="D68" s="36" t="s">
        <v>48</v>
      </c>
      <c r="E68" s="36"/>
      <c r="F68" s="36"/>
      <c r="G68" s="36"/>
      <c r="H68" s="36"/>
      <c r="I68" s="36"/>
      <c r="J68" s="36"/>
      <c r="K68" s="36"/>
      <c r="L68" s="108"/>
      <c r="M68" s="108"/>
      <c r="N68" s="108"/>
      <c r="O68" s="108"/>
    </row>
    <row r="69" spans="12:15" ht="12.75">
      <c r="L69" s="108"/>
      <c r="M69" s="108"/>
      <c r="N69" s="108"/>
      <c r="O69" s="108"/>
    </row>
    <row r="70" spans="1:15" ht="12.75">
      <c r="A70" s="36" t="s">
        <v>49</v>
      </c>
      <c r="B70" s="37">
        <f>B68/2</f>
        <v>5.497379363894375</v>
      </c>
      <c r="C70" s="36" t="s">
        <v>32</v>
      </c>
      <c r="D70" s="36" t="s">
        <v>50</v>
      </c>
      <c r="E70" s="36"/>
      <c r="F70" s="36"/>
      <c r="G70" s="36"/>
      <c r="H70" s="36"/>
      <c r="I70" s="36"/>
      <c r="J70" s="36"/>
      <c r="K70" s="36"/>
      <c r="L70" s="108"/>
      <c r="M70" s="108"/>
      <c r="N70" s="108"/>
      <c r="O70" s="10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5" sqref="C5"/>
    </sheetView>
  </sheetViews>
  <sheetFormatPr defaultColWidth="11.28125" defaultRowHeight="12.75"/>
  <sheetData>
    <row r="1" spans="1:2" ht="12.75">
      <c r="A1" s="38" t="s">
        <v>41</v>
      </c>
      <c r="B1" t="s">
        <v>42</v>
      </c>
    </row>
    <row r="3" spans="1:3" ht="12.75">
      <c r="A3" t="s">
        <v>32</v>
      </c>
      <c r="B3" t="s">
        <v>43</v>
      </c>
      <c r="C3" t="s">
        <v>44</v>
      </c>
    </row>
    <row r="5" spans="1:3" ht="12.75">
      <c r="A5">
        <v>5</v>
      </c>
      <c r="B5">
        <v>6.331</v>
      </c>
      <c r="C5">
        <f aca="true" t="shared" si="0" ref="C5:C11">B5*2.54/100</f>
        <v>0.16080740000000002</v>
      </c>
    </row>
    <row r="6" spans="1:3" ht="12.75">
      <c r="A6">
        <v>7.5</v>
      </c>
      <c r="B6">
        <v>7.81</v>
      </c>
      <c r="C6">
        <f t="shared" si="0"/>
        <v>0.198374</v>
      </c>
    </row>
    <row r="7" spans="1:3" ht="12.75">
      <c r="A7">
        <v>10</v>
      </c>
      <c r="B7">
        <v>9.478</v>
      </c>
      <c r="C7">
        <f t="shared" si="0"/>
        <v>0.24074120000000002</v>
      </c>
    </row>
    <row r="8" spans="1:3" ht="12.75">
      <c r="A8">
        <v>12.5</v>
      </c>
      <c r="B8">
        <v>11.363</v>
      </c>
      <c r="C8">
        <f t="shared" si="0"/>
        <v>0.2886202</v>
      </c>
    </row>
    <row r="9" spans="1:3" ht="12.75">
      <c r="A9">
        <v>15</v>
      </c>
      <c r="B9">
        <v>13.482</v>
      </c>
      <c r="C9">
        <f t="shared" si="0"/>
        <v>0.34244279999999994</v>
      </c>
    </row>
    <row r="10" spans="1:3" ht="12.75">
      <c r="A10">
        <v>17.5</v>
      </c>
      <c r="B10">
        <v>15.851</v>
      </c>
      <c r="C10">
        <f t="shared" si="0"/>
        <v>0.4026154</v>
      </c>
    </row>
    <row r="11" spans="1:3" ht="12.75">
      <c r="A11">
        <v>20</v>
      </c>
      <c r="B11">
        <v>18.482</v>
      </c>
      <c r="C11">
        <f t="shared" si="0"/>
        <v>0.4694428</v>
      </c>
    </row>
    <row r="12" spans="1:3" ht="12.75">
      <c r="A12">
        <v>20.95</v>
      </c>
      <c r="B12">
        <v>19.552</v>
      </c>
      <c r="C12">
        <v>0.4966</v>
      </c>
    </row>
    <row r="13" spans="1:3" ht="12.75">
      <c r="A13">
        <v>22.5</v>
      </c>
      <c r="B13">
        <v>21.385</v>
      </c>
      <c r="C13">
        <f>B13*2.54/100</f>
        <v>0.543179</v>
      </c>
    </row>
    <row r="14" spans="1:3" ht="12.75">
      <c r="A14">
        <v>25</v>
      </c>
      <c r="B14">
        <v>24.568</v>
      </c>
      <c r="C14">
        <f>B14*2.54/100</f>
        <v>0.6240272</v>
      </c>
    </row>
    <row r="16" ht="12.75">
      <c r="A16" s="38" t="s">
        <v>45</v>
      </c>
    </row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J29" sqref="J29"/>
    </sheetView>
  </sheetViews>
  <sheetFormatPr defaultColWidth="9.140625" defaultRowHeight="12.75"/>
  <cols>
    <col min="1" max="1" width="7.57421875" style="0" customWidth="1"/>
    <col min="2" max="2" width="16.7109375" style="0" customWidth="1"/>
    <col min="3" max="3" width="14.8515625" style="0" customWidth="1"/>
    <col min="4" max="4" width="8.28125" style="0" customWidth="1"/>
    <col min="5" max="5" width="11.28125" style="0" customWidth="1"/>
    <col min="8" max="8" width="10.421875" style="0" customWidth="1"/>
    <col min="9" max="9" width="8.421875" style="0" customWidth="1"/>
    <col min="10" max="11" width="11.28125" style="0" customWidth="1"/>
    <col min="12" max="12" width="8.7109375" style="0" customWidth="1"/>
    <col min="13" max="16384" width="11.28125" style="0" customWidth="1"/>
  </cols>
  <sheetData>
    <row r="1" spans="2:12" ht="12.75">
      <c r="B1" t="s">
        <v>16</v>
      </c>
      <c r="F1" s="8"/>
      <c r="G1" s="8"/>
      <c r="H1" s="8"/>
      <c r="I1" t="s">
        <v>17</v>
      </c>
      <c r="L1" s="9"/>
    </row>
    <row r="2" spans="1:16" ht="12.7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s="20" t="s">
        <v>23</v>
      </c>
      <c r="G2" s="20" t="s">
        <v>30</v>
      </c>
      <c r="H2" s="20" t="s">
        <v>31</v>
      </c>
      <c r="I2" t="s">
        <v>24</v>
      </c>
      <c r="J2" t="s">
        <v>25</v>
      </c>
      <c r="K2" t="s">
        <v>26</v>
      </c>
      <c r="L2" s="9" t="s">
        <v>27</v>
      </c>
      <c r="M2" t="s">
        <v>28</v>
      </c>
      <c r="N2" s="8" t="s">
        <v>29</v>
      </c>
      <c r="O2" t="s">
        <v>30</v>
      </c>
      <c r="P2" t="s">
        <v>31</v>
      </c>
    </row>
    <row r="3" spans="6:12" ht="12.75">
      <c r="F3" s="8"/>
      <c r="G3" s="8"/>
      <c r="H3" s="8"/>
      <c r="L3" s="9"/>
    </row>
    <row r="4" spans="1:16" ht="12.75">
      <c r="A4">
        <v>100</v>
      </c>
      <c r="B4" s="10">
        <f aca="true" t="shared" si="0" ref="B4:B22">A4/(SQRT(($C$31*$B$24)^2+$C$28^2))</f>
        <v>318.30968295898293</v>
      </c>
      <c r="C4" s="10">
        <f aca="true" t="shared" si="1" ref="C4:C22">B4*$C$28</f>
        <v>0.11299993745043894</v>
      </c>
      <c r="D4" s="19">
        <f aca="true" t="shared" si="2" ref="D4:D22">(4*$C$31*0.0000001)*(B4^2)*(($B$24)^2*$C$31/4)/C4</f>
        <v>0.008849551120680987</v>
      </c>
      <c r="E4" s="10">
        <f aca="true" t="shared" si="3" ref="E4:E22">$C$32/(4*A4)</f>
        <v>750000</v>
      </c>
      <c r="F4" s="8">
        <f aca="true" t="shared" si="4" ref="F4:F22">(((1/(2*$C$31*E4))^2)/D4)*10^12</f>
        <v>5.088578681593193</v>
      </c>
      <c r="G4" s="8">
        <f aca="true" t="shared" si="5" ref="G4:G11">(0.29*C4/0.0254)+(0.41*($C$24)/0.0254)+(1.94*SQRT(($C$24/0.0254)^3/(C4/0.0254)))</f>
        <v>4.637537004988856</v>
      </c>
      <c r="H4" s="8">
        <f>F4-G4</f>
        <v>0.451041676604337</v>
      </c>
      <c r="I4">
        <v>100</v>
      </c>
      <c r="J4" s="10">
        <f aca="true" t="shared" si="6" ref="J4:J22">I4/(SQRT(($C$31*$J$24)^2+$C$28^2))</f>
        <v>254.6478048958891</v>
      </c>
      <c r="K4" s="10">
        <f aca="true" t="shared" si="7" ref="K4:K22">J4*$C$28</f>
        <v>0.09039997073804062</v>
      </c>
      <c r="L4" s="9">
        <f aca="true" t="shared" si="8" ref="L4:L22">(4*$C$31*0.0000001)*(J4^2)*(($J$24)^2*$C$31/4)/K4</f>
        <v>0.011061941443347456</v>
      </c>
      <c r="M4" s="10">
        <f aca="true" t="shared" si="9" ref="M4:M22">$C$32/(4*I4)</f>
        <v>750000</v>
      </c>
      <c r="N4" s="10">
        <f aca="true" t="shared" si="10" ref="N4:N22">(((1/(2*$C$31*M4))^2)/L4)*10^12</f>
        <v>4.0708620096202015</v>
      </c>
      <c r="O4">
        <f>(0.29*K4/0.0254)+(0.41*($K$24)/0.0254)+(1.94*SQRT(($K$24/0.0254)^3/(K4/0.0254)))</f>
        <v>6.010192250244623</v>
      </c>
      <c r="P4">
        <f>N4-O4</f>
        <v>-1.9393302406244217</v>
      </c>
    </row>
    <row r="5" spans="1:16" ht="12.75">
      <c r="A5">
        <v>150</v>
      </c>
      <c r="B5" s="10">
        <f t="shared" si="0"/>
        <v>477.4645244384744</v>
      </c>
      <c r="C5" s="10">
        <f t="shared" si="1"/>
        <v>0.16949990617565844</v>
      </c>
      <c r="D5" s="19">
        <f t="shared" si="2"/>
        <v>0.013274326681021482</v>
      </c>
      <c r="E5" s="10">
        <f t="shared" si="3"/>
        <v>500000</v>
      </c>
      <c r="F5" s="8">
        <f t="shared" si="4"/>
        <v>7.632868022389785</v>
      </c>
      <c r="G5" s="8">
        <f t="shared" si="5"/>
        <v>4.8164628225014425</v>
      </c>
      <c r="H5" s="8">
        <f aca="true" t="shared" si="11" ref="H5:H22">F5-G5</f>
        <v>2.816405199888343</v>
      </c>
      <c r="I5">
        <v>150</v>
      </c>
      <c r="J5" s="10">
        <f t="shared" si="6"/>
        <v>381.97170734383366</v>
      </c>
      <c r="K5" s="10">
        <f t="shared" si="7"/>
        <v>0.13559995610706096</v>
      </c>
      <c r="L5" s="9">
        <f t="shared" si="8"/>
        <v>0.016592912165021186</v>
      </c>
      <c r="M5" s="10">
        <f t="shared" si="9"/>
        <v>500000</v>
      </c>
      <c r="N5" s="10">
        <f t="shared" si="10"/>
        <v>6.1062930144303005</v>
      </c>
      <c r="O5">
        <f aca="true" t="shared" si="12" ref="O5:O22">(0.29*K5/0.0254)+(0.41*($K$24)/0.0254)+(1.94*SQRT(($K$24/0.0254)^3/(K5/0.0254)))</f>
        <v>5.797891775324052</v>
      </c>
      <c r="P5">
        <f aca="true" t="shared" si="13" ref="P5:P22">N5-O5</f>
        <v>0.3084012391062485</v>
      </c>
    </row>
    <row r="6" spans="1:16" ht="12.75">
      <c r="A6">
        <v>200</v>
      </c>
      <c r="B6" s="10">
        <f t="shared" si="0"/>
        <v>636.6193659179659</v>
      </c>
      <c r="C6" s="10">
        <f t="shared" si="1"/>
        <v>0.2259998749008779</v>
      </c>
      <c r="D6" s="19">
        <f t="shared" si="2"/>
        <v>0.017699102241361973</v>
      </c>
      <c r="E6" s="10">
        <f t="shared" si="3"/>
        <v>375000</v>
      </c>
      <c r="F6" s="8">
        <f t="shared" si="4"/>
        <v>10.177157363186385</v>
      </c>
      <c r="G6" s="8">
        <f t="shared" si="5"/>
        <v>5.1836589947004885</v>
      </c>
      <c r="H6" s="8">
        <f t="shared" si="11"/>
        <v>4.993498368485897</v>
      </c>
      <c r="I6">
        <v>200</v>
      </c>
      <c r="J6" s="10">
        <f t="shared" si="6"/>
        <v>509.2956097917782</v>
      </c>
      <c r="K6" s="10">
        <f t="shared" si="7"/>
        <v>0.18079994147608125</v>
      </c>
      <c r="L6" s="9">
        <f t="shared" si="8"/>
        <v>0.022123882886694913</v>
      </c>
      <c r="M6" s="10">
        <f t="shared" si="9"/>
        <v>375000</v>
      </c>
      <c r="N6" s="10">
        <f t="shared" si="10"/>
        <v>8.141724019240403</v>
      </c>
      <c r="O6">
        <f t="shared" si="12"/>
        <v>5.879763695794518</v>
      </c>
      <c r="P6">
        <f t="shared" si="13"/>
        <v>2.2619603234458854</v>
      </c>
    </row>
    <row r="7" spans="1:16" ht="12.75">
      <c r="A7">
        <v>250</v>
      </c>
      <c r="B7" s="10">
        <f t="shared" si="0"/>
        <v>795.7742073974574</v>
      </c>
      <c r="C7" s="10">
        <f t="shared" si="1"/>
        <v>0.28249984362609737</v>
      </c>
      <c r="D7" s="19">
        <f t="shared" si="2"/>
        <v>0.02212387780170247</v>
      </c>
      <c r="E7" s="10">
        <f t="shared" si="3"/>
        <v>300000</v>
      </c>
      <c r="F7" s="8">
        <f t="shared" si="4"/>
        <v>12.721446703982982</v>
      </c>
      <c r="G7" s="8">
        <f t="shared" si="5"/>
        <v>5.6391012854885645</v>
      </c>
      <c r="H7" s="8">
        <f t="shared" si="11"/>
        <v>7.082345418494418</v>
      </c>
      <c r="I7">
        <v>250</v>
      </c>
      <c r="J7" s="10">
        <f t="shared" si="6"/>
        <v>636.6195122397227</v>
      </c>
      <c r="K7" s="10">
        <f t="shared" si="7"/>
        <v>0.22599992684510156</v>
      </c>
      <c r="L7" s="9">
        <f t="shared" si="8"/>
        <v>0.027654853608368637</v>
      </c>
      <c r="M7" s="10">
        <f t="shared" si="9"/>
        <v>300000</v>
      </c>
      <c r="N7" s="10">
        <f t="shared" si="10"/>
        <v>10.177155024050505</v>
      </c>
      <c r="O7">
        <f t="shared" si="12"/>
        <v>6.099520160714524</v>
      </c>
      <c r="P7">
        <f t="shared" si="13"/>
        <v>4.07763486333598</v>
      </c>
    </row>
    <row r="8" spans="1:16" ht="12.75">
      <c r="A8">
        <v>300</v>
      </c>
      <c r="B8" s="10">
        <f t="shared" si="0"/>
        <v>954.9290488769489</v>
      </c>
      <c r="C8" s="10">
        <f t="shared" si="1"/>
        <v>0.3389998123513169</v>
      </c>
      <c r="D8" s="19">
        <f t="shared" si="2"/>
        <v>0.026548653362042963</v>
      </c>
      <c r="E8" s="10">
        <f t="shared" si="3"/>
        <v>250000</v>
      </c>
      <c r="F8" s="8">
        <f t="shared" si="4"/>
        <v>15.26573604477957</v>
      </c>
      <c r="G8" s="8">
        <f t="shared" si="5"/>
        <v>6.14419612068442</v>
      </c>
      <c r="H8" s="8">
        <f t="shared" si="11"/>
        <v>9.121539924095151</v>
      </c>
      <c r="I8">
        <v>300</v>
      </c>
      <c r="J8" s="10">
        <f t="shared" si="6"/>
        <v>763.9434146876673</v>
      </c>
      <c r="K8" s="10">
        <f t="shared" si="7"/>
        <v>0.27119991221412193</v>
      </c>
      <c r="L8" s="9">
        <f t="shared" si="8"/>
        <v>0.03318582433004237</v>
      </c>
      <c r="M8" s="10">
        <f t="shared" si="9"/>
        <v>250000</v>
      </c>
      <c r="N8" s="10">
        <f t="shared" si="10"/>
        <v>12.212586028860601</v>
      </c>
      <c r="O8">
        <f t="shared" si="12"/>
        <v>6.396858717355883</v>
      </c>
      <c r="P8">
        <f t="shared" si="13"/>
        <v>5.815727311504718</v>
      </c>
    </row>
    <row r="9" spans="1:16" ht="12.75">
      <c r="A9">
        <v>350</v>
      </c>
      <c r="B9" s="10">
        <f t="shared" si="0"/>
        <v>1114.0838903564404</v>
      </c>
      <c r="C9" s="10">
        <f t="shared" si="1"/>
        <v>0.3954997810765363</v>
      </c>
      <c r="D9" s="19">
        <f t="shared" si="2"/>
        <v>0.03097342892238346</v>
      </c>
      <c r="E9" s="10">
        <f t="shared" si="3"/>
        <v>214285.7142857143</v>
      </c>
      <c r="F9" s="8">
        <f t="shared" si="4"/>
        <v>17.810025385576168</v>
      </c>
      <c r="G9" s="8">
        <f t="shared" si="5"/>
        <v>6.680479353647648</v>
      </c>
      <c r="H9" s="8">
        <f t="shared" si="11"/>
        <v>11.12954603192852</v>
      </c>
      <c r="I9">
        <v>350</v>
      </c>
      <c r="J9" s="10">
        <f t="shared" si="6"/>
        <v>891.2673171356118</v>
      </c>
      <c r="K9" s="10">
        <f t="shared" si="7"/>
        <v>0.3163998975831422</v>
      </c>
      <c r="L9" s="9">
        <f t="shared" si="8"/>
        <v>0.0387167950517161</v>
      </c>
      <c r="M9" s="10">
        <f t="shared" si="9"/>
        <v>214285.7142857143</v>
      </c>
      <c r="N9" s="10">
        <f t="shared" si="10"/>
        <v>14.248017033670699</v>
      </c>
      <c r="O9">
        <f t="shared" si="12"/>
        <v>6.742929139908449</v>
      </c>
      <c r="P9">
        <f t="shared" si="13"/>
        <v>7.50508789376225</v>
      </c>
    </row>
    <row r="10" spans="1:16" ht="12.75">
      <c r="A10">
        <v>400</v>
      </c>
      <c r="B10" s="10">
        <f t="shared" si="0"/>
        <v>1273.2387318359317</v>
      </c>
      <c r="C10" s="10">
        <f t="shared" si="1"/>
        <v>0.4519997498017558</v>
      </c>
      <c r="D10" s="19">
        <f t="shared" si="2"/>
        <v>0.03539820448272395</v>
      </c>
      <c r="E10" s="10">
        <f t="shared" si="3"/>
        <v>187500</v>
      </c>
      <c r="F10" s="8">
        <f t="shared" si="4"/>
        <v>20.35431472637277</v>
      </c>
      <c r="G10" s="8">
        <f t="shared" si="5"/>
        <v>7.237860491163543</v>
      </c>
      <c r="H10" s="8">
        <f t="shared" si="11"/>
        <v>13.116454235209227</v>
      </c>
      <c r="I10">
        <v>400</v>
      </c>
      <c r="J10" s="10">
        <f t="shared" si="6"/>
        <v>1018.5912195835564</v>
      </c>
      <c r="K10" s="10">
        <f t="shared" si="7"/>
        <v>0.3615998829521625</v>
      </c>
      <c r="L10" s="9">
        <f t="shared" si="8"/>
        <v>0.044247765773389826</v>
      </c>
      <c r="M10" s="10">
        <f t="shared" si="9"/>
        <v>187500</v>
      </c>
      <c r="N10" s="10">
        <f t="shared" si="10"/>
        <v>16.283448038480806</v>
      </c>
      <c r="O10">
        <f t="shared" si="12"/>
        <v>7.121965034536139</v>
      </c>
      <c r="P10">
        <f t="shared" si="13"/>
        <v>9.161483003944667</v>
      </c>
    </row>
    <row r="11" spans="1:16" ht="12.75">
      <c r="A11">
        <v>450</v>
      </c>
      <c r="B11" s="10">
        <f t="shared" si="0"/>
        <v>1432.3935733154233</v>
      </c>
      <c r="C11" s="10">
        <f t="shared" si="1"/>
        <v>0.5084997185269753</v>
      </c>
      <c r="D11" s="19">
        <f t="shared" si="2"/>
        <v>0.039822980043064435</v>
      </c>
      <c r="E11" s="10">
        <f t="shared" si="3"/>
        <v>166666.66666666666</v>
      </c>
      <c r="F11" s="8">
        <f t="shared" si="4"/>
        <v>22.89860406716937</v>
      </c>
      <c r="G11" s="8">
        <f t="shared" si="5"/>
        <v>7.810297960718428</v>
      </c>
      <c r="H11" s="8">
        <f t="shared" si="11"/>
        <v>15.088306106450942</v>
      </c>
      <c r="I11">
        <v>450</v>
      </c>
      <c r="J11" s="10">
        <f t="shared" si="6"/>
        <v>1145.915122031501</v>
      </c>
      <c r="K11" s="10">
        <f t="shared" si="7"/>
        <v>0.4067998683211828</v>
      </c>
      <c r="L11" s="9">
        <f t="shared" si="8"/>
        <v>0.04977873649506356</v>
      </c>
      <c r="M11" s="10">
        <f t="shared" si="9"/>
        <v>166666.66666666666</v>
      </c>
      <c r="N11" s="10">
        <f t="shared" si="10"/>
        <v>18.318879043290906</v>
      </c>
      <c r="O11">
        <f t="shared" si="12"/>
        <v>7.5245264452711735</v>
      </c>
      <c r="P11">
        <f t="shared" si="13"/>
        <v>10.794352598019731</v>
      </c>
    </row>
    <row r="12" spans="1:16" ht="12.75">
      <c r="A12">
        <v>500</v>
      </c>
      <c r="B12" s="10">
        <f t="shared" si="0"/>
        <v>1591.5484147949148</v>
      </c>
      <c r="C12" s="10">
        <f t="shared" si="1"/>
        <v>0.5649996872521947</v>
      </c>
      <c r="D12" s="19">
        <f t="shared" si="2"/>
        <v>0.04424775560340494</v>
      </c>
      <c r="E12" s="10">
        <f t="shared" si="3"/>
        <v>150000</v>
      </c>
      <c r="F12" s="8">
        <f t="shared" si="4"/>
        <v>25.442893407965965</v>
      </c>
      <c r="G12" s="8">
        <f>(0.29*C12/0.0254)+(0.41*($C$24)/0.0254)+(1.94*SQRT(($C$24/0.0254)^3/(C12/0.0254)))</f>
        <v>8.393924290510363</v>
      </c>
      <c r="H12" s="8">
        <f t="shared" si="11"/>
        <v>17.048969117455602</v>
      </c>
      <c r="I12">
        <v>500</v>
      </c>
      <c r="J12" s="10">
        <f t="shared" si="6"/>
        <v>1273.2390244794453</v>
      </c>
      <c r="K12" s="10">
        <f t="shared" si="7"/>
        <v>0.4519998536902031</v>
      </c>
      <c r="L12" s="9">
        <f t="shared" si="8"/>
        <v>0.055309707216737274</v>
      </c>
      <c r="M12" s="10">
        <f t="shared" si="9"/>
        <v>150000</v>
      </c>
      <c r="N12" s="10">
        <f t="shared" si="10"/>
        <v>20.35431004810101</v>
      </c>
      <c r="O12">
        <f t="shared" si="12"/>
        <v>7.944570448117483</v>
      </c>
      <c r="P12">
        <f t="shared" si="13"/>
        <v>12.409739599983526</v>
      </c>
    </row>
    <row r="13" spans="1:16" ht="12.75">
      <c r="A13">
        <v>550</v>
      </c>
      <c r="B13" s="10">
        <f t="shared" si="0"/>
        <v>1750.7032562744062</v>
      </c>
      <c r="C13" s="10">
        <f t="shared" si="1"/>
        <v>0.6214996559774142</v>
      </c>
      <c r="D13" s="19">
        <f t="shared" si="2"/>
        <v>0.04867253116374543</v>
      </c>
      <c r="E13" s="10">
        <f t="shared" si="3"/>
        <v>136363.63636363635</v>
      </c>
      <c r="F13" s="8">
        <f t="shared" si="4"/>
        <v>27.987182748762564</v>
      </c>
      <c r="G13" s="8">
        <f aca="true" t="shared" si="14" ref="G13:G22">(0.29*C13/0.0254)+(0.41*($C$24)/0.0254)+(1.94*SQRT(($C$24/0.0254)^3/(C13/0.0254)))</f>
        <v>8.986133669146186</v>
      </c>
      <c r="H13" s="8">
        <f t="shared" si="11"/>
        <v>19.00104907961638</v>
      </c>
      <c r="I13">
        <v>550</v>
      </c>
      <c r="J13" s="10">
        <f t="shared" si="6"/>
        <v>1400.56292692739</v>
      </c>
      <c r="K13" s="10">
        <f t="shared" si="7"/>
        <v>0.49719983905922344</v>
      </c>
      <c r="L13" s="9">
        <f t="shared" si="8"/>
        <v>0.06084067793841101</v>
      </c>
      <c r="M13" s="10">
        <f t="shared" si="9"/>
        <v>136363.63636363635</v>
      </c>
      <c r="N13" s="10">
        <f t="shared" si="10"/>
        <v>22.38974105291111</v>
      </c>
      <c r="O13">
        <f t="shared" si="12"/>
        <v>8.378025463241167</v>
      </c>
      <c r="P13">
        <f t="shared" si="13"/>
        <v>14.011715589669942</v>
      </c>
    </row>
    <row r="14" spans="1:16" ht="12.75">
      <c r="A14">
        <v>600</v>
      </c>
      <c r="B14" s="10">
        <f t="shared" si="0"/>
        <v>1909.8580977538977</v>
      </c>
      <c r="C14" s="10">
        <f t="shared" si="1"/>
        <v>0.6779996247026338</v>
      </c>
      <c r="D14" s="19">
        <f t="shared" si="2"/>
        <v>0.05309730672408593</v>
      </c>
      <c r="E14" s="10">
        <f t="shared" si="3"/>
        <v>125000</v>
      </c>
      <c r="F14" s="8">
        <f t="shared" si="4"/>
        <v>30.53147208955914</v>
      </c>
      <c r="G14" s="8">
        <f t="shared" si="14"/>
        <v>9.585097740711088</v>
      </c>
      <c r="H14" s="8">
        <f t="shared" si="11"/>
        <v>20.946374348848053</v>
      </c>
      <c r="I14">
        <v>600</v>
      </c>
      <c r="J14" s="10">
        <f t="shared" si="6"/>
        <v>1527.8868293753346</v>
      </c>
      <c r="K14" s="10">
        <f t="shared" si="7"/>
        <v>0.5423998244282439</v>
      </c>
      <c r="L14" s="9">
        <f t="shared" si="8"/>
        <v>0.06637164866008474</v>
      </c>
      <c r="M14" s="10">
        <f t="shared" si="9"/>
        <v>125000</v>
      </c>
      <c r="N14" s="10">
        <f t="shared" si="10"/>
        <v>24.425172057721202</v>
      </c>
      <c r="O14">
        <f t="shared" si="12"/>
        <v>8.822034684853636</v>
      </c>
      <c r="P14">
        <f t="shared" si="13"/>
        <v>15.603137372867566</v>
      </c>
    </row>
    <row r="15" spans="1:16" ht="12.75">
      <c r="A15">
        <v>650</v>
      </c>
      <c r="B15" s="10">
        <f t="shared" si="0"/>
        <v>2069.0129392333893</v>
      </c>
      <c r="C15" s="10">
        <f t="shared" si="1"/>
        <v>0.7344995934278532</v>
      </c>
      <c r="D15" s="19">
        <f t="shared" si="2"/>
        <v>0.057522082284426415</v>
      </c>
      <c r="E15" s="10">
        <f t="shared" si="3"/>
        <v>115384.61538461539</v>
      </c>
      <c r="F15" s="8">
        <f t="shared" si="4"/>
        <v>33.07576143035575</v>
      </c>
      <c r="G15" s="8">
        <f t="shared" si="14"/>
        <v>10.189490729819756</v>
      </c>
      <c r="H15" s="8">
        <f t="shared" si="11"/>
        <v>22.88627070053599</v>
      </c>
      <c r="I15">
        <v>650</v>
      </c>
      <c r="J15" s="10">
        <f t="shared" si="6"/>
        <v>1655.210731823279</v>
      </c>
      <c r="K15" s="10">
        <f t="shared" si="7"/>
        <v>0.5875998097972641</v>
      </c>
      <c r="L15" s="9">
        <f t="shared" si="8"/>
        <v>0.07190261938175845</v>
      </c>
      <c r="M15" s="10">
        <f t="shared" si="9"/>
        <v>115384.61538461539</v>
      </c>
      <c r="N15" s="10">
        <f t="shared" si="10"/>
        <v>26.46060306253131</v>
      </c>
      <c r="O15">
        <f t="shared" si="12"/>
        <v>9.2745265891534</v>
      </c>
      <c r="P15">
        <f t="shared" si="13"/>
        <v>17.18607647337791</v>
      </c>
    </row>
    <row r="16" spans="1:16" ht="12.75">
      <c r="A16">
        <v>700</v>
      </c>
      <c r="B16" s="10">
        <f t="shared" si="0"/>
        <v>2228.167780712881</v>
      </c>
      <c r="C16" s="10">
        <f t="shared" si="1"/>
        <v>0.7909995621530727</v>
      </c>
      <c r="D16" s="19">
        <f t="shared" si="2"/>
        <v>0.06194685784476692</v>
      </c>
      <c r="E16" s="10">
        <f t="shared" si="3"/>
        <v>107142.85714285714</v>
      </c>
      <c r="F16" s="8">
        <f t="shared" si="4"/>
        <v>35.620050771152336</v>
      </c>
      <c r="G16" s="8">
        <f t="shared" si="14"/>
        <v>10.798324718467464</v>
      </c>
      <c r="H16" s="8">
        <f t="shared" si="11"/>
        <v>24.821726052684873</v>
      </c>
      <c r="I16">
        <v>700</v>
      </c>
      <c r="J16" s="10">
        <f t="shared" si="6"/>
        <v>1782.5346342712237</v>
      </c>
      <c r="K16" s="10">
        <f t="shared" si="7"/>
        <v>0.6327997951662844</v>
      </c>
      <c r="L16" s="9">
        <f t="shared" si="8"/>
        <v>0.0774335901034322</v>
      </c>
      <c r="M16" s="10">
        <f t="shared" si="9"/>
        <v>107142.85714285714</v>
      </c>
      <c r="N16" s="10">
        <f t="shared" si="10"/>
        <v>28.496034067341398</v>
      </c>
      <c r="O16">
        <f t="shared" si="12"/>
        <v>9.733957554435474</v>
      </c>
      <c r="P16">
        <f t="shared" si="13"/>
        <v>18.762076512905924</v>
      </c>
    </row>
    <row r="17" spans="1:16" ht="12.75">
      <c r="A17">
        <v>750</v>
      </c>
      <c r="B17" s="10">
        <f t="shared" si="0"/>
        <v>2387.322622192372</v>
      </c>
      <c r="C17" s="10">
        <f t="shared" si="1"/>
        <v>0.847499530878292</v>
      </c>
      <c r="D17" s="19">
        <f t="shared" si="2"/>
        <v>0.0663716334051074</v>
      </c>
      <c r="E17" s="10">
        <f t="shared" si="3"/>
        <v>100000</v>
      </c>
      <c r="F17" s="8">
        <f t="shared" si="4"/>
        <v>38.16434011194894</v>
      </c>
      <c r="G17" s="8">
        <f t="shared" si="14"/>
        <v>11.410846441026063</v>
      </c>
      <c r="H17" s="8">
        <f t="shared" si="11"/>
        <v>26.753493670922875</v>
      </c>
      <c r="I17">
        <v>750</v>
      </c>
      <c r="J17" s="10">
        <f t="shared" si="6"/>
        <v>1909.8585367191681</v>
      </c>
      <c r="K17" s="10">
        <f t="shared" si="7"/>
        <v>0.6779997805353047</v>
      </c>
      <c r="L17" s="9">
        <f t="shared" si="8"/>
        <v>0.08296456082510589</v>
      </c>
      <c r="M17" s="10">
        <f t="shared" si="9"/>
        <v>100000</v>
      </c>
      <c r="N17" s="10">
        <f t="shared" si="10"/>
        <v>30.531465072151516</v>
      </c>
      <c r="O17">
        <f t="shared" si="12"/>
        <v>10.199150603291129</v>
      </c>
      <c r="P17">
        <f t="shared" si="13"/>
        <v>20.33231446886039</v>
      </c>
    </row>
    <row r="18" spans="1:16" ht="12.75">
      <c r="A18">
        <v>800</v>
      </c>
      <c r="B18" s="10">
        <f t="shared" si="0"/>
        <v>2546.4774636718635</v>
      </c>
      <c r="C18" s="10">
        <f t="shared" si="1"/>
        <v>0.9039994996035116</v>
      </c>
      <c r="D18" s="19">
        <f t="shared" si="2"/>
        <v>0.0707964089654479</v>
      </c>
      <c r="E18" s="10">
        <f t="shared" si="3"/>
        <v>93750</v>
      </c>
      <c r="F18" s="8">
        <f t="shared" si="4"/>
        <v>40.70862945274554</v>
      </c>
      <c r="G18" s="8">
        <f t="shared" si="14"/>
        <v>12.02647016760186</v>
      </c>
      <c r="H18" s="8">
        <f t="shared" si="11"/>
        <v>28.682159285143683</v>
      </c>
      <c r="I18">
        <v>800</v>
      </c>
      <c r="J18" s="10">
        <f t="shared" si="6"/>
        <v>2037.1824391671128</v>
      </c>
      <c r="K18" s="10">
        <f t="shared" si="7"/>
        <v>0.723199765904325</v>
      </c>
      <c r="L18" s="9">
        <f t="shared" si="8"/>
        <v>0.08849553154677965</v>
      </c>
      <c r="M18" s="10">
        <f t="shared" si="9"/>
        <v>93750</v>
      </c>
      <c r="N18" s="10">
        <f t="shared" si="10"/>
        <v>32.56689607696161</v>
      </c>
      <c r="O18">
        <f t="shared" si="12"/>
        <v>10.669190532866647</v>
      </c>
      <c r="P18">
        <f t="shared" si="13"/>
        <v>21.897705544094965</v>
      </c>
    </row>
    <row r="19" spans="1:16" ht="12.75">
      <c r="A19">
        <v>850</v>
      </c>
      <c r="B19" s="10">
        <f t="shared" si="0"/>
        <v>2705.632305151355</v>
      </c>
      <c r="C19" s="10">
        <f t="shared" si="1"/>
        <v>0.960499468328731</v>
      </c>
      <c r="D19" s="19">
        <f t="shared" si="2"/>
        <v>0.0752211845257884</v>
      </c>
      <c r="E19" s="10">
        <f t="shared" si="3"/>
        <v>88235.29411764706</v>
      </c>
      <c r="F19" s="8">
        <f t="shared" si="4"/>
        <v>43.25291879354214</v>
      </c>
      <c r="G19" s="8">
        <f t="shared" si="14"/>
        <v>12.644732651535618</v>
      </c>
      <c r="H19" s="8">
        <f t="shared" si="11"/>
        <v>30.608186142006524</v>
      </c>
      <c r="I19">
        <v>850</v>
      </c>
      <c r="J19" s="10">
        <f t="shared" si="6"/>
        <v>2164.5063416150574</v>
      </c>
      <c r="K19" s="10">
        <f t="shared" si="7"/>
        <v>0.7683997512733454</v>
      </c>
      <c r="L19" s="9">
        <f t="shared" si="8"/>
        <v>0.09402650226845337</v>
      </c>
      <c r="M19" s="10">
        <f t="shared" si="9"/>
        <v>88235.29411764706</v>
      </c>
      <c r="N19" s="10">
        <f t="shared" si="10"/>
        <v>34.60232708177172</v>
      </c>
      <c r="O19">
        <f t="shared" si="12"/>
        <v>11.143353520340156</v>
      </c>
      <c r="P19">
        <f t="shared" si="13"/>
        <v>23.458973561431563</v>
      </c>
    </row>
    <row r="20" spans="1:16" ht="12.75">
      <c r="A20">
        <v>900</v>
      </c>
      <c r="B20" s="10">
        <f t="shared" si="0"/>
        <v>2864.7871466308466</v>
      </c>
      <c r="C20" s="10">
        <f t="shared" si="1"/>
        <v>1.0169994370539506</v>
      </c>
      <c r="D20" s="19">
        <f t="shared" si="2"/>
        <v>0.07964596008612887</v>
      </c>
      <c r="E20" s="10">
        <f t="shared" si="3"/>
        <v>83333.33333333333</v>
      </c>
      <c r="F20" s="8">
        <f t="shared" si="4"/>
        <v>45.79720813433874</v>
      </c>
      <c r="G20" s="8">
        <f t="shared" si="14"/>
        <v>13.265262051220823</v>
      </c>
      <c r="H20" s="8">
        <f t="shared" si="11"/>
        <v>32.531946083117916</v>
      </c>
      <c r="I20">
        <v>900</v>
      </c>
      <c r="J20" s="10">
        <f t="shared" si="6"/>
        <v>2291.830244063002</v>
      </c>
      <c r="K20" s="10">
        <f t="shared" si="7"/>
        <v>0.8135997366423656</v>
      </c>
      <c r="L20" s="9">
        <f t="shared" si="8"/>
        <v>0.09955747299012711</v>
      </c>
      <c r="M20" s="10">
        <f t="shared" si="9"/>
        <v>83333.33333333333</v>
      </c>
      <c r="N20" s="10">
        <f t="shared" si="10"/>
        <v>36.63775808658181</v>
      </c>
      <c r="O20">
        <f t="shared" si="12"/>
        <v>11.621058563268239</v>
      </c>
      <c r="P20">
        <f t="shared" si="13"/>
        <v>25.016699523313573</v>
      </c>
    </row>
    <row r="21" spans="1:16" ht="12.75">
      <c r="A21">
        <v>950</v>
      </c>
      <c r="B21" s="10">
        <f t="shared" si="0"/>
        <v>3023.941988110338</v>
      </c>
      <c r="C21" s="10">
        <f t="shared" si="1"/>
        <v>1.07349940577917</v>
      </c>
      <c r="D21" s="19">
        <f t="shared" si="2"/>
        <v>0.08407073564646939</v>
      </c>
      <c r="E21" s="10">
        <f t="shared" si="3"/>
        <v>78947.36842105263</v>
      </c>
      <c r="F21" s="8">
        <f t="shared" si="4"/>
        <v>48.34149747513534</v>
      </c>
      <c r="G21" s="8">
        <f t="shared" si="14"/>
        <v>13.88775597651432</v>
      </c>
      <c r="H21" s="8">
        <f t="shared" si="11"/>
        <v>34.45374149862102</v>
      </c>
      <c r="I21">
        <v>950</v>
      </c>
      <c r="J21" s="10">
        <f t="shared" si="6"/>
        <v>2419.1541465109462</v>
      </c>
      <c r="K21" s="10">
        <f t="shared" si="7"/>
        <v>0.858799722011386</v>
      </c>
      <c r="L21" s="9">
        <f t="shared" si="8"/>
        <v>0.10508844371180083</v>
      </c>
      <c r="M21" s="10">
        <f t="shared" si="9"/>
        <v>78947.36842105263</v>
      </c>
      <c r="N21" s="10">
        <f t="shared" si="10"/>
        <v>38.67318909139192</v>
      </c>
      <c r="O21">
        <f t="shared" si="12"/>
        <v>12.101833177106528</v>
      </c>
      <c r="P21">
        <f t="shared" si="13"/>
        <v>26.57135591428539</v>
      </c>
    </row>
    <row r="22" spans="1:16" ht="12.75">
      <c r="A22">
        <v>1000</v>
      </c>
      <c r="B22" s="10">
        <f t="shared" si="0"/>
        <v>3183.0968295898297</v>
      </c>
      <c r="C22" s="10">
        <f t="shared" si="1"/>
        <v>1.1299993745043895</v>
      </c>
      <c r="D22" s="19">
        <f t="shared" si="2"/>
        <v>0.08849551120680987</v>
      </c>
      <c r="E22" s="10">
        <f t="shared" si="3"/>
        <v>75000</v>
      </c>
      <c r="F22" s="8">
        <f t="shared" si="4"/>
        <v>50.88578681593193</v>
      </c>
      <c r="G22" s="8">
        <f t="shared" si="14"/>
        <v>14.511965653787149</v>
      </c>
      <c r="H22" s="8">
        <f t="shared" si="11"/>
        <v>36.37382116214478</v>
      </c>
      <c r="I22">
        <v>1000</v>
      </c>
      <c r="J22" s="10">
        <f t="shared" si="6"/>
        <v>2546.4780489588907</v>
      </c>
      <c r="K22" s="10">
        <f t="shared" si="7"/>
        <v>0.9039997073804062</v>
      </c>
      <c r="L22" s="9">
        <f t="shared" si="8"/>
        <v>0.11061941443347455</v>
      </c>
      <c r="M22" s="10">
        <f t="shared" si="9"/>
        <v>75000</v>
      </c>
      <c r="N22" s="10">
        <f t="shared" si="10"/>
        <v>40.70862009620202</v>
      </c>
      <c r="O22">
        <f t="shared" si="12"/>
        <v>12.58528865310443</v>
      </c>
      <c r="P22">
        <f t="shared" si="13"/>
        <v>28.12333144309759</v>
      </c>
    </row>
    <row r="23" spans="6:12" ht="12.75">
      <c r="F23" s="8"/>
      <c r="G23" s="8"/>
      <c r="H23" s="8"/>
      <c r="L23" s="9"/>
    </row>
    <row r="24" spans="2:12" ht="12.75">
      <c r="B24">
        <v>0.1</v>
      </c>
      <c r="C24">
        <v>0.05</v>
      </c>
      <c r="F24" s="8"/>
      <c r="G24" s="8"/>
      <c r="H24" s="8"/>
      <c r="J24">
        <v>0.125</v>
      </c>
      <c r="K24">
        <v>0.0625</v>
      </c>
      <c r="L24" s="9"/>
    </row>
    <row r="25" spans="6:12" ht="12.75">
      <c r="F25" s="8"/>
      <c r="G25" s="8"/>
      <c r="H25" s="8"/>
      <c r="L25" s="9"/>
    </row>
    <row r="26" spans="1:12" ht="26.25">
      <c r="A26" s="39" t="s">
        <v>36</v>
      </c>
      <c r="B26" s="40"/>
      <c r="F26" s="8"/>
      <c r="G26" s="8"/>
      <c r="H26" s="8"/>
      <c r="L26" s="9"/>
    </row>
    <row r="27" spans="6:12" ht="12.75">
      <c r="F27" s="8"/>
      <c r="G27" s="8"/>
      <c r="H27" s="8"/>
      <c r="L27" s="9"/>
    </row>
    <row r="28" spans="1:12" s="2" customFormat="1" ht="12.75">
      <c r="A28" s="2" t="s">
        <v>0</v>
      </c>
      <c r="C28" s="34">
        <v>0.000355</v>
      </c>
      <c r="D28" s="2" t="s">
        <v>1</v>
      </c>
      <c r="F28" s="11"/>
      <c r="G28" s="11"/>
      <c r="H28" s="11"/>
      <c r="L28" s="12"/>
    </row>
    <row r="29" spans="1:12" s="2" customFormat="1" ht="12.75">
      <c r="A29" s="2" t="s">
        <v>2</v>
      </c>
      <c r="C29" s="35">
        <v>600</v>
      </c>
      <c r="D29" s="2" t="s">
        <v>1</v>
      </c>
      <c r="F29" s="11"/>
      <c r="G29" s="11"/>
      <c r="H29" s="11"/>
      <c r="L29" s="12"/>
    </row>
    <row r="30" spans="1:12" s="2" customFormat="1" ht="12.75">
      <c r="A30" s="2" t="s">
        <v>3</v>
      </c>
      <c r="C30" s="34">
        <v>0.125</v>
      </c>
      <c r="D30" s="2" t="s">
        <v>1</v>
      </c>
      <c r="F30" s="11"/>
      <c r="G30" s="11"/>
      <c r="H30" s="11"/>
      <c r="L30" s="12"/>
    </row>
    <row r="31" spans="1:12" s="3" customFormat="1" ht="12.75">
      <c r="A31" s="3" t="s">
        <v>4</v>
      </c>
      <c r="C31" s="1">
        <v>3.14159265359</v>
      </c>
      <c r="F31" s="8"/>
      <c r="G31" s="8"/>
      <c r="H31" s="8"/>
      <c r="L31" s="9"/>
    </row>
    <row r="32" spans="1:12" s="3" customFormat="1" ht="12.75">
      <c r="A32" s="3" t="s">
        <v>5</v>
      </c>
      <c r="C32" s="28">
        <v>300000000</v>
      </c>
      <c r="D32" s="3" t="s">
        <v>6</v>
      </c>
      <c r="F32" s="8"/>
      <c r="G32" s="8"/>
      <c r="H32" s="8"/>
      <c r="L32" s="9"/>
    </row>
    <row r="33" spans="1:12" s="3" customFormat="1" ht="12.75">
      <c r="A33" s="3" t="s">
        <v>7</v>
      </c>
      <c r="C33" s="41">
        <f>C28</f>
        <v>0.000355</v>
      </c>
      <c r="D33" s="3" t="s">
        <v>1</v>
      </c>
      <c r="F33" s="8"/>
      <c r="G33" s="8"/>
      <c r="H33" s="8"/>
      <c r="L33" s="9"/>
    </row>
    <row r="34" spans="3:12" s="3" customFormat="1" ht="12.75">
      <c r="C34" s="1"/>
      <c r="F34" s="8"/>
      <c r="G34" s="8"/>
      <c r="H34" s="8"/>
      <c r="L34" s="9"/>
    </row>
    <row r="35" spans="1:12" s="4" customFormat="1" ht="12.75">
      <c r="A35" s="4" t="s">
        <v>8</v>
      </c>
      <c r="C35" s="42">
        <f>SQRT((C30*C31)^2+C28^2)</f>
        <v>0.39269924215873087</v>
      </c>
      <c r="D35" s="4" t="s">
        <v>1</v>
      </c>
      <c r="F35" s="13"/>
      <c r="G35" s="13"/>
      <c r="H35" s="13"/>
      <c r="L35" s="14"/>
    </row>
    <row r="36" spans="1:12" s="4" customFormat="1" ht="12.75">
      <c r="A36" s="4" t="s">
        <v>9</v>
      </c>
      <c r="C36" s="33">
        <f>C29/C35</f>
        <v>1527.8868293753346</v>
      </c>
      <c r="D36" s="4" t="s">
        <v>10</v>
      </c>
      <c r="F36" s="13"/>
      <c r="G36" s="13"/>
      <c r="H36" s="13"/>
      <c r="L36" s="14"/>
    </row>
    <row r="37" spans="1:12" s="4" customFormat="1" ht="12.75">
      <c r="A37" s="4" t="s">
        <v>11</v>
      </c>
      <c r="C37" s="42">
        <f>C36*C33</f>
        <v>0.5423998244282439</v>
      </c>
      <c r="D37" s="4" t="s">
        <v>1</v>
      </c>
      <c r="F37" s="13"/>
      <c r="G37" s="13"/>
      <c r="H37" s="13"/>
      <c r="L37" s="14"/>
    </row>
    <row r="38" spans="1:12" s="5" customFormat="1" ht="12.75">
      <c r="A38" s="5" t="s">
        <v>12</v>
      </c>
      <c r="C38" s="43">
        <f>(4*C31*0.0000001)*(C36^2)*((C30^2)*C31/4)/C37</f>
        <v>0.06637164866008474</v>
      </c>
      <c r="D38" s="23" t="s">
        <v>33</v>
      </c>
      <c r="F38" s="15"/>
      <c r="G38" s="15"/>
      <c r="H38" s="15"/>
      <c r="L38" s="16"/>
    </row>
    <row r="39" spans="3:12" s="3" customFormat="1" ht="12.75">
      <c r="C39" s="1"/>
      <c r="F39" s="8"/>
      <c r="G39" s="8"/>
      <c r="H39" s="8"/>
      <c r="L39" s="9"/>
    </row>
    <row r="40" spans="1:12" s="6" customFormat="1" ht="12.75">
      <c r="A40" s="6" t="s">
        <v>13</v>
      </c>
      <c r="C40" s="29">
        <f>C29</f>
        <v>600</v>
      </c>
      <c r="D40" s="6" t="s">
        <v>1</v>
      </c>
      <c r="F40" s="17"/>
      <c r="G40" s="17"/>
      <c r="H40" s="17"/>
      <c r="L40" s="18"/>
    </row>
    <row r="41" spans="1:12" s="6" customFormat="1" ht="12.75">
      <c r="A41" s="6" t="s">
        <v>14</v>
      </c>
      <c r="C41" s="29">
        <f>C32/(4*C40)</f>
        <v>125000</v>
      </c>
      <c r="D41" s="6" t="s">
        <v>15</v>
      </c>
      <c r="F41" s="17"/>
      <c r="G41" s="17"/>
      <c r="H41" s="17"/>
      <c r="L41" s="18"/>
    </row>
    <row r="42" spans="3:12" s="3" customFormat="1" ht="12.75">
      <c r="C42" s="22"/>
      <c r="F42" s="8"/>
      <c r="G42" s="8"/>
      <c r="H42" s="8"/>
      <c r="L42" s="9"/>
    </row>
    <row r="43" spans="1:12" s="24" customFormat="1" ht="12.75">
      <c r="A43" s="21" t="s">
        <v>30</v>
      </c>
      <c r="C43" s="32">
        <f>(0.29*C37/0.0254)+(0.41*(C30/2)/0.0254)+(1.94*SQRT(((C30/2)/0.0254)^3/(C37/0.0254)))</f>
        <v>8.822034684853636</v>
      </c>
      <c r="D43" s="21" t="s">
        <v>32</v>
      </c>
      <c r="F43" s="25"/>
      <c r="G43" s="25"/>
      <c r="H43" s="25"/>
      <c r="L43" s="26"/>
    </row>
    <row r="45" spans="1:4" s="27" customFormat="1" ht="12.75">
      <c r="A45" s="31" t="s">
        <v>35</v>
      </c>
      <c r="C45" s="30">
        <f>(((1/(2*C31*C41))^2)/C38)*10^12</f>
        <v>24.425172057721202</v>
      </c>
      <c r="D45" s="31" t="s">
        <v>32</v>
      </c>
    </row>
    <row r="47" spans="1:3" s="36" customFormat="1" ht="12.75">
      <c r="A47" s="36" t="s">
        <v>34</v>
      </c>
      <c r="C47" s="37">
        <f>C45-C43</f>
        <v>15.603137372867566</v>
      </c>
    </row>
  </sheetData>
  <printOptions/>
  <pageMargins left="0.7875" right="0.7875" top="0.7875" bottom="0.7875" header="0.5" footer="0.5"/>
  <pageSetup cellComments="asDisplayed" fitToWidth="2" horizontalDpi="300" verticalDpi="300" orientation="landscape" paperSize="9" scale="75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cfoscan</cp:lastModifiedBy>
  <cp:lastPrinted>2003-05-21T12:35:03Z</cp:lastPrinted>
  <dcterms:created xsi:type="dcterms:W3CDTF">2003-05-09T10:40:04Z</dcterms:created>
  <dcterms:modified xsi:type="dcterms:W3CDTF">2003-06-06T14:42:04Z</dcterms:modified>
  <cp:category/>
  <cp:version/>
  <cp:contentType/>
  <cp:contentStatus/>
  <cp:revision>5</cp:revision>
</cp:coreProperties>
</file>